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slicers/slicer4.xml" ContentType="application/vnd.ms-excel.slicer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slicers/slicer5.xml" ContentType="application/vnd.ms-excel.slicer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slicers/slicer6.xml" ContentType="application/vnd.ms-excel.slicer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slicers/slicer7.xml" ContentType="application/vnd.ms-excel.slicer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slicers/slicer8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fhortasud-my.sharepoint.com/personal/julio_fundaciohortasud_org/Documents/Fundació/04 SERÀ HORTA SUD 2030/"/>
    </mc:Choice>
  </mc:AlternateContent>
  <xr:revisionPtr revIDLastSave="2741" documentId="11_AD4D2F04E46CFB4ACB3E20E89DD6F8D8693EDF1D" xr6:coauthVersionLast="47" xr6:coauthVersionMax="47" xr10:uidLastSave="{D2E61E9F-65A2-496A-9618-83496123982A}"/>
  <bookViews>
    <workbookView xWindow="-120" yWindow="-120" windowWidth="29040" windowHeight="15840" firstSheet="4" activeTab="10" xr2:uid="{00000000-000D-0000-FFFF-FFFF00000000}"/>
  </bookViews>
  <sheets>
    <sheet name="MESTRE" sheetId="2" state="hidden" r:id="rId1"/>
    <sheet name="OBSERVATORI" sheetId="1" r:id="rId2"/>
    <sheet name="DADES GENERALS" sheetId="3" r:id="rId3"/>
    <sheet name="MOBILITAT" sheetId="4" r:id="rId4"/>
    <sheet name="CIUTATS VERDES" sheetId="5" r:id="rId5"/>
    <sheet name="PARTICIPACIÓ" sheetId="6" r:id="rId6"/>
    <sheet name="ECONOMÍA URBANA" sheetId="7" r:id="rId7"/>
    <sheet name="RECURSOS HÍDRICS" sheetId="8" r:id="rId8"/>
    <sheet name="RECURSOS ELÈCTRICS" sheetId="9" r:id="rId9"/>
    <sheet name="RESIDUS " sheetId="10" r:id="rId10"/>
    <sheet name="HABITATGE" sheetId="11" r:id="rId11"/>
  </sheets>
  <externalReferences>
    <externalReference r:id="rId12"/>
  </externalReferences>
  <definedNames>
    <definedName name="_xlnm._FilterDatabase" localSheetId="2" hidden="1">'DADES GENERALS'!$A$2:$E$160</definedName>
    <definedName name="SegmentaciónDeDatos_CATEGORÍA">#N/A</definedName>
    <definedName name="SegmentaciónDeDatos_CATEGORÍA1">#N/A</definedName>
    <definedName name="SegmentaciónDeDatos_CATEGORÍA11">#N/A</definedName>
    <definedName name="SegmentaciónDeDatos_CATEGORÍA2">#N/A</definedName>
    <definedName name="SegmentaciónDeDatos_CATEGORÍA3">#N/A</definedName>
    <definedName name="SegmentaciónDeDatos_CATEGORÍA4">#N/A</definedName>
    <definedName name="SegmentaciónDeDatos_CATEGORÍA5">#N/A</definedName>
    <definedName name="SegmentaciónDeDatos_CATEGORÍA6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1" l="1"/>
  <c r="D68" i="11"/>
  <c r="F67" i="11"/>
  <c r="E67" i="11"/>
  <c r="D67" i="11"/>
  <c r="C67" i="11"/>
  <c r="D46" i="11"/>
  <c r="C46" i="11"/>
  <c r="D45" i="11"/>
  <c r="C45" i="11"/>
  <c r="F44" i="11"/>
  <c r="E44" i="11"/>
  <c r="D44" i="11"/>
  <c r="C44" i="11"/>
  <c r="E23" i="11"/>
  <c r="D23" i="11"/>
  <c r="C23" i="11"/>
  <c r="D47" i="10"/>
  <c r="D46" i="10"/>
  <c r="C46" i="10"/>
  <c r="G3" i="10"/>
  <c r="G4" i="10"/>
  <c r="G5" i="10"/>
  <c r="G6" i="10"/>
  <c r="G7" i="10"/>
  <c r="G8" i="10"/>
  <c r="G9" i="10"/>
  <c r="G10" i="10"/>
  <c r="G12" i="10"/>
  <c r="G13" i="10"/>
  <c r="G14" i="10"/>
  <c r="G15" i="10"/>
  <c r="G16" i="10"/>
  <c r="G17" i="10"/>
  <c r="G18" i="10"/>
  <c r="G19" i="10"/>
  <c r="G20" i="10"/>
  <c r="G21" i="10"/>
  <c r="G22" i="10"/>
  <c r="D25" i="10"/>
  <c r="C25" i="10"/>
  <c r="D24" i="10"/>
  <c r="C24" i="10"/>
  <c r="E23" i="10"/>
  <c r="D23" i="10"/>
  <c r="C23" i="10"/>
  <c r="D48" i="10"/>
  <c r="C48" i="10"/>
  <c r="C47" i="10"/>
  <c r="F46" i="10"/>
  <c r="E46" i="10"/>
  <c r="D110" i="9"/>
  <c r="E110" i="9"/>
  <c r="F110" i="9"/>
  <c r="C110" i="9"/>
  <c r="D89" i="9"/>
  <c r="E89" i="9"/>
  <c r="C89" i="9"/>
  <c r="C46" i="4"/>
  <c r="F89" i="9"/>
  <c r="F68" i="9" l="1"/>
  <c r="E68" i="9"/>
  <c r="D68" i="9"/>
  <c r="C68" i="9"/>
  <c r="F67" i="9"/>
  <c r="E67" i="9"/>
  <c r="D67" i="9"/>
  <c r="C67" i="9"/>
  <c r="F66" i="9"/>
  <c r="E66" i="9"/>
  <c r="D66" i="9"/>
  <c r="C66" i="9"/>
  <c r="C43" i="9"/>
  <c r="D43" i="9"/>
  <c r="E43" i="9"/>
  <c r="F43" i="9"/>
  <c r="F45" i="9"/>
  <c r="E45" i="9"/>
  <c r="D45" i="9"/>
  <c r="C45" i="9"/>
  <c r="F44" i="9"/>
  <c r="E44" i="9"/>
  <c r="D44" i="9"/>
  <c r="C44" i="9"/>
  <c r="C43" i="8"/>
  <c r="E8" i="8"/>
  <c r="F45" i="8"/>
  <c r="E45" i="8"/>
  <c r="D45" i="8"/>
  <c r="C45" i="8"/>
  <c r="F44" i="8"/>
  <c r="E44" i="8"/>
  <c r="D44" i="8"/>
  <c r="C44" i="8"/>
  <c r="F43" i="8"/>
  <c r="E43" i="8"/>
  <c r="D43" i="8"/>
  <c r="G246" i="7"/>
  <c r="G245" i="7"/>
  <c r="G244" i="7"/>
  <c r="G223" i="7"/>
  <c r="G222" i="7"/>
  <c r="G221" i="7"/>
  <c r="G200" i="7"/>
  <c r="G199" i="7"/>
  <c r="G198" i="7"/>
  <c r="C198" i="7"/>
  <c r="F246" i="7"/>
  <c r="E246" i="7"/>
  <c r="D246" i="7"/>
  <c r="C246" i="7"/>
  <c r="F245" i="7"/>
  <c r="E245" i="7"/>
  <c r="D245" i="7"/>
  <c r="C245" i="7"/>
  <c r="F244" i="7"/>
  <c r="E244" i="7"/>
  <c r="D244" i="7"/>
  <c r="C244" i="7"/>
  <c r="F223" i="7"/>
  <c r="E223" i="7"/>
  <c r="D223" i="7"/>
  <c r="C223" i="7"/>
  <c r="F222" i="7"/>
  <c r="E222" i="7"/>
  <c r="D222" i="7"/>
  <c r="C222" i="7"/>
  <c r="F221" i="7"/>
  <c r="E221" i="7"/>
  <c r="D221" i="7"/>
  <c r="C221" i="7"/>
  <c r="F200" i="7"/>
  <c r="E200" i="7"/>
  <c r="D200" i="7"/>
  <c r="C200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58" i="7"/>
  <c r="E158" i="7"/>
  <c r="F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58" i="7"/>
  <c r="F136" i="7"/>
  <c r="F137" i="7"/>
  <c r="F138" i="7"/>
  <c r="F139" i="7"/>
  <c r="F140" i="7"/>
  <c r="F141" i="7"/>
  <c r="F142" i="7"/>
  <c r="F144" i="7"/>
  <c r="F145" i="7"/>
  <c r="F146" i="7"/>
  <c r="F147" i="7"/>
  <c r="F148" i="7"/>
  <c r="F149" i="7"/>
  <c r="F150" i="7"/>
  <c r="F151" i="7"/>
  <c r="F152" i="7"/>
  <c r="F153" i="7"/>
  <c r="F154" i="7"/>
  <c r="E136" i="7"/>
  <c r="E137" i="7"/>
  <c r="E138" i="7"/>
  <c r="E139" i="7"/>
  <c r="E140" i="7"/>
  <c r="E141" i="7"/>
  <c r="E142" i="7"/>
  <c r="E144" i="7"/>
  <c r="E145" i="7"/>
  <c r="E146" i="7"/>
  <c r="E147" i="7"/>
  <c r="E148" i="7"/>
  <c r="E149" i="7"/>
  <c r="E150" i="7"/>
  <c r="E151" i="7"/>
  <c r="E152" i="7"/>
  <c r="E153" i="7"/>
  <c r="E154" i="7"/>
  <c r="D136" i="7"/>
  <c r="D137" i="7"/>
  <c r="D138" i="7"/>
  <c r="D139" i="7"/>
  <c r="D140" i="7"/>
  <c r="D141" i="7"/>
  <c r="D142" i="7"/>
  <c r="D144" i="7"/>
  <c r="D145" i="7"/>
  <c r="D146" i="7"/>
  <c r="D147" i="7"/>
  <c r="D148" i="7"/>
  <c r="D149" i="7"/>
  <c r="D150" i="7"/>
  <c r="D151" i="7"/>
  <c r="D152" i="7"/>
  <c r="D153" i="7"/>
  <c r="D154" i="7"/>
  <c r="D135" i="7"/>
  <c r="E135" i="7"/>
  <c r="F135" i="7"/>
  <c r="C136" i="7"/>
  <c r="C137" i="7"/>
  <c r="C138" i="7"/>
  <c r="C139" i="7"/>
  <c r="C140" i="7"/>
  <c r="C141" i="7"/>
  <c r="C142" i="7"/>
  <c r="C144" i="7"/>
  <c r="C145" i="7"/>
  <c r="C146" i="7"/>
  <c r="C147" i="7"/>
  <c r="C148" i="7"/>
  <c r="C149" i="7"/>
  <c r="C150" i="7"/>
  <c r="C151" i="7"/>
  <c r="C152" i="7"/>
  <c r="C153" i="7"/>
  <c r="C154" i="7"/>
  <c r="C135" i="7"/>
  <c r="F111" i="7"/>
  <c r="F110" i="7"/>
  <c r="E111" i="7"/>
  <c r="D111" i="7"/>
  <c r="C111" i="7"/>
  <c r="E110" i="7"/>
  <c r="D110" i="7"/>
  <c r="C110" i="7"/>
  <c r="F109" i="7"/>
  <c r="E109" i="7"/>
  <c r="D109" i="7"/>
  <c r="C109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E46" i="7"/>
  <c r="F46" i="7"/>
  <c r="D46" i="7"/>
  <c r="C46" i="7"/>
  <c r="C43" i="7"/>
  <c r="F134" i="7"/>
  <c r="E134" i="7"/>
  <c r="C134" i="7"/>
  <c r="F133" i="7"/>
  <c r="E133" i="7"/>
  <c r="C133" i="7"/>
  <c r="F132" i="7"/>
  <c r="E132" i="7"/>
  <c r="C132" i="7"/>
  <c r="D134" i="7"/>
  <c r="E88" i="7"/>
  <c r="D88" i="7"/>
  <c r="C88" i="7"/>
  <c r="E87" i="7"/>
  <c r="D87" i="7"/>
  <c r="C87" i="7"/>
  <c r="F86" i="7"/>
  <c r="E86" i="7"/>
  <c r="D86" i="7"/>
  <c r="C86" i="7"/>
  <c r="F45" i="7"/>
  <c r="E45" i="7"/>
  <c r="D45" i="7"/>
  <c r="C45" i="7"/>
  <c r="F44" i="7"/>
  <c r="E44" i="7"/>
  <c r="D44" i="7"/>
  <c r="C44" i="7"/>
  <c r="F43" i="7"/>
  <c r="E43" i="7"/>
  <c r="D43" i="7"/>
  <c r="F21" i="5"/>
  <c r="F19" i="5"/>
  <c r="F15" i="5"/>
  <c r="E6" i="5"/>
  <c r="F3" i="5"/>
  <c r="C155" i="7" l="1"/>
  <c r="D155" i="7"/>
  <c r="C157" i="7"/>
  <c r="E155" i="7"/>
  <c r="F155" i="7"/>
  <c r="C199" i="7"/>
  <c r="D198" i="7"/>
  <c r="D199" i="7"/>
  <c r="E198" i="7"/>
  <c r="E199" i="7"/>
  <c r="F198" i="7"/>
  <c r="F199" i="7"/>
  <c r="C156" i="7"/>
  <c r="F157" i="7"/>
  <c r="F156" i="7"/>
  <c r="D157" i="7"/>
  <c r="E157" i="7"/>
  <c r="D156" i="7"/>
  <c r="D132" i="7"/>
  <c r="D133" i="7"/>
  <c r="E156" i="7"/>
  <c r="E109" i="4"/>
  <c r="D109" i="4"/>
  <c r="C109" i="4"/>
  <c r="F88" i="4"/>
  <c r="E88" i="4"/>
  <c r="D88" i="4"/>
  <c r="C88" i="4"/>
  <c r="D67" i="4"/>
  <c r="E67" i="4"/>
  <c r="F67" i="4"/>
  <c r="C67" i="4"/>
  <c r="D46" i="4"/>
  <c r="E46" i="4"/>
  <c r="F46" i="4"/>
  <c r="E24" i="4"/>
  <c r="D24" i="4"/>
  <c r="E25" i="4"/>
  <c r="D25" i="4"/>
  <c r="F25" i="4"/>
  <c r="C24" i="4"/>
  <c r="C10" i="4"/>
  <c r="C19" i="4"/>
  <c r="C18" i="4"/>
  <c r="F109" i="4"/>
  <c r="F24" i="4"/>
  <c r="F23" i="4"/>
  <c r="E23" i="4"/>
  <c r="D23" i="4"/>
  <c r="F157" i="3"/>
  <c r="E157" i="3"/>
  <c r="D157" i="3"/>
  <c r="C157" i="3"/>
  <c r="F156" i="3"/>
  <c r="E156" i="3"/>
  <c r="D156" i="3"/>
  <c r="C156" i="3"/>
  <c r="F155" i="3"/>
  <c r="E155" i="3"/>
  <c r="D155" i="3"/>
  <c r="C155" i="3"/>
  <c r="F154" i="3"/>
  <c r="E154" i="3"/>
  <c r="D154" i="3"/>
  <c r="C154" i="3"/>
  <c r="F153" i="3"/>
  <c r="E153" i="3"/>
  <c r="D153" i="3"/>
  <c r="C153" i="3"/>
  <c r="F152" i="3"/>
  <c r="E152" i="3"/>
  <c r="D152" i="3"/>
  <c r="C152" i="3"/>
  <c r="F151" i="3"/>
  <c r="E151" i="3"/>
  <c r="D151" i="3"/>
  <c r="C151" i="3"/>
  <c r="F150" i="3"/>
  <c r="E150" i="3"/>
  <c r="D150" i="3"/>
  <c r="C150" i="3"/>
  <c r="F149" i="3"/>
  <c r="E149" i="3"/>
  <c r="D149" i="3"/>
  <c r="C149" i="3"/>
  <c r="F148" i="3"/>
  <c r="E148" i="3"/>
  <c r="D148" i="3"/>
  <c r="C148" i="3"/>
  <c r="F147" i="3"/>
  <c r="E147" i="3"/>
  <c r="D147" i="3"/>
  <c r="C147" i="3"/>
  <c r="F146" i="3"/>
  <c r="E146" i="3"/>
  <c r="D146" i="3"/>
  <c r="C146" i="3"/>
  <c r="F145" i="3"/>
  <c r="E145" i="3"/>
  <c r="D145" i="3"/>
  <c r="C145" i="3"/>
  <c r="F144" i="3"/>
  <c r="E144" i="3"/>
  <c r="D144" i="3"/>
  <c r="C144" i="3"/>
  <c r="F143" i="3"/>
  <c r="E143" i="3"/>
  <c r="D143" i="3"/>
  <c r="C143" i="3"/>
  <c r="F142" i="3"/>
  <c r="E142" i="3"/>
  <c r="D142" i="3"/>
  <c r="C142" i="3"/>
  <c r="C160" i="3" s="1"/>
  <c r="F141" i="3"/>
  <c r="E141" i="3"/>
  <c r="E160" i="3" s="1"/>
  <c r="C141" i="3"/>
  <c r="F140" i="3"/>
  <c r="E140" i="3"/>
  <c r="D140" i="3"/>
  <c r="C140" i="3"/>
  <c r="F160" i="3"/>
  <c r="D160" i="3"/>
  <c r="F159" i="3"/>
  <c r="D159" i="3"/>
  <c r="E135" i="3"/>
  <c r="F135" i="3"/>
  <c r="C135" i="3"/>
  <c r="E136" i="3"/>
  <c r="F136" i="3"/>
  <c r="C136" i="3"/>
  <c r="D118" i="3"/>
  <c r="D135" i="3" s="1"/>
  <c r="F137" i="3"/>
  <c r="E137" i="3"/>
  <c r="C137" i="3"/>
  <c r="F100" i="3"/>
  <c r="D92" i="3"/>
  <c r="E92" i="3"/>
  <c r="F92" i="3"/>
  <c r="C92" i="3"/>
  <c r="F94" i="3"/>
  <c r="E94" i="3"/>
  <c r="D94" i="3"/>
  <c r="C94" i="3"/>
  <c r="F93" i="3"/>
  <c r="E93" i="3"/>
  <c r="D93" i="3"/>
  <c r="C93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D49" i="3"/>
  <c r="E49" i="3"/>
  <c r="F49" i="3"/>
  <c r="C49" i="3"/>
  <c r="F48" i="3"/>
  <c r="E48" i="3"/>
  <c r="D48" i="3"/>
  <c r="C48" i="3"/>
  <c r="F47" i="3"/>
  <c r="E47" i="3"/>
  <c r="D47" i="3"/>
  <c r="C47" i="3"/>
  <c r="F46" i="3"/>
  <c r="E46" i="3"/>
  <c r="D46" i="3"/>
  <c r="C46" i="3"/>
  <c r="D25" i="3"/>
  <c r="E25" i="3"/>
  <c r="F25" i="3"/>
  <c r="C25" i="3"/>
  <c r="D24" i="3"/>
  <c r="E24" i="3"/>
  <c r="F24" i="3"/>
  <c r="C24" i="3"/>
  <c r="D23" i="3"/>
  <c r="E23" i="3"/>
  <c r="F23" i="3"/>
  <c r="C23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D137" i="3" l="1"/>
  <c r="C23" i="4"/>
  <c r="C25" i="4"/>
  <c r="D71" i="3"/>
  <c r="D136" i="3"/>
  <c r="C159" i="3"/>
  <c r="E159" i="3"/>
  <c r="E70" i="3"/>
  <c r="F70" i="3"/>
  <c r="C70" i="3"/>
  <c r="E71" i="3"/>
  <c r="F71" i="3"/>
  <c r="C71" i="3"/>
  <c r="D70" i="3"/>
</calcChain>
</file>

<file path=xl/sharedStrings.xml><?xml version="1.0" encoding="utf-8"?>
<sst xmlns="http://schemas.openxmlformats.org/spreadsheetml/2006/main" count="3265" uniqueCount="150">
  <si>
    <t>POBLACIONS</t>
  </si>
  <si>
    <t>Alaquàs</t>
  </si>
  <si>
    <t>Albal</t>
  </si>
  <si>
    <t>Alcàsser</t>
  </si>
  <si>
    <t>Aldaia</t>
  </si>
  <si>
    <t>Alfafar</t>
  </si>
  <si>
    <t>Benetússer</t>
  </si>
  <si>
    <t>Beniparrell</t>
  </si>
  <si>
    <t>Catarroja</t>
  </si>
  <si>
    <t>Llocnou de la Corona</t>
  </si>
  <si>
    <t>Manises</t>
  </si>
  <si>
    <t>Massanassa</t>
  </si>
  <si>
    <t>Mislata</t>
  </si>
  <si>
    <t>Paiporta</t>
  </si>
  <si>
    <t>Picanya</t>
  </si>
  <si>
    <t>Picassent</t>
  </si>
  <si>
    <t>Quart de Poblet</t>
  </si>
  <si>
    <t>Sedaví</t>
  </si>
  <si>
    <t>Silla</t>
  </si>
  <si>
    <t>Torrent</t>
  </si>
  <si>
    <t>Xirivella</t>
  </si>
  <si>
    <t>ANY</t>
  </si>
  <si>
    <t xml:space="preserve">DADES GENERALS </t>
  </si>
  <si>
    <t>DENSITAT</t>
  </si>
  <si>
    <t>CATEGORÍA</t>
  </si>
  <si>
    <t>POBLACIÓ</t>
  </si>
  <si>
    <t>DIF.POBLACIÓ (2023-2020)</t>
  </si>
  <si>
    <t>SUPERFÍCIE (kms2)</t>
  </si>
  <si>
    <t>PRESSUPOST</t>
  </si>
  <si>
    <t>% PRESSUPOST DESTINANT AL PACES</t>
  </si>
  <si>
    <t>INVERSIÓ PER HABITANT</t>
  </si>
  <si>
    <t>RECAPTACIÓ PER HABITANT</t>
  </si>
  <si>
    <t>2020</t>
  </si>
  <si>
    <t>2021</t>
  </si>
  <si>
    <t>2022</t>
  </si>
  <si>
    <t>2023</t>
  </si>
  <si>
    <t>TOTAL POBLACIÓ</t>
  </si>
  <si>
    <t>TOTAL SUPERFÍCIE (Kms2)</t>
  </si>
  <si>
    <t>TOTAL DENSITAT</t>
  </si>
  <si>
    <t>TOTAL PRESSUPOST</t>
  </si>
  <si>
    <t>MITJANA</t>
  </si>
  <si>
    <t>MEDIANA</t>
  </si>
  <si>
    <t>TOTAL INVERSIÓ PER HABITANT</t>
  </si>
  <si>
    <t>TOTAL RECAPTACIÓ PER HABITANT</t>
  </si>
  <si>
    <t>MOBILITAT</t>
  </si>
  <si>
    <t>KMS CARRIL BICI (Font: Ajuntaments)</t>
  </si>
  <si>
    <t>POBLACIÓ (Font: ARGOS)</t>
  </si>
  <si>
    <t>SUPERFÍCIE (kms2) (Font: ARGOS)</t>
  </si>
  <si>
    <t>DENSITAT (Font: ARGOS)</t>
  </si>
  <si>
    <t>PRESSUPOST (Font: Gobierno)</t>
  </si>
  <si>
    <t>% PRESSUPOST DESTINANT AL PACES (Font: Ajuntaments)</t>
  </si>
  <si>
    <t>INVERSIÓ PER HABITANT (Font: Gobierno)</t>
  </si>
  <si>
    <t>RECAPTACIÓ PER HABITANT (Font: Gobierno)</t>
  </si>
  <si>
    <t>RED CIUDADES POR LA BICICLETA (Font: Red Ciudades por la Bicicleta)</t>
  </si>
  <si>
    <t>PACTE VALENCIÀ PER LA MOBILITAT I SOSTENIBLE (Font: Pacte Valencià Mob. Seg. i Sost.)</t>
  </si>
  <si>
    <t>PMUS (Font: webs municipals)</t>
  </si>
  <si>
    <t>SERVEI PÚBLIC DE BICICLETA (Font: Mibisi)</t>
  </si>
  <si>
    <t>TOTAL RED CIUDADES POR LA BICICLETA</t>
  </si>
  <si>
    <t>TOTAL KMS CARRIL BICI</t>
  </si>
  <si>
    <t>TOTAL PACTE VALENCIÀ PER LA MOBILITAT I SOSTENIBLE</t>
  </si>
  <si>
    <t>TOTAL PMUS</t>
  </si>
  <si>
    <t>TOTAL SERVEI PÚBLIC DE BICICLETA</t>
  </si>
  <si>
    <t>No</t>
  </si>
  <si>
    <t>Sí</t>
  </si>
  <si>
    <t>En procés: https://www.hortanoticias.com/massanassa-trabaja-en-su-futuro-plan-de-movilidad-urbana-sostenible-para-mejorar-la-calidad-de-vida-de-sus-vecinos/</t>
  </si>
  <si>
    <t>-</t>
  </si>
  <si>
    <t>CIUTATS VERDES</t>
  </si>
  <si>
    <t>M2 ZONES VERDES / HAB. (Font: Ajuntaments)</t>
  </si>
  <si>
    <t>NÚMERO D'ARBRES CASC URBÀ (Font: Ajuntaments)</t>
  </si>
  <si>
    <t>PARTICIPACIÓ</t>
  </si>
  <si>
    <t>En reconstrucció</t>
  </si>
  <si>
    <t xml:space="preserve">En la pròxima actualització es tornaran a publicar les dades de participació. </t>
  </si>
  <si>
    <t>Si desitges les dades actuals, ens les pots demanar contactant amb nosaltres a hola@fundaciohortasud.org</t>
  </si>
  <si>
    <t>ECONOMÍA URBANA</t>
  </si>
  <si>
    <t>TOTAL EMPRESES (Font: Observem)</t>
  </si>
  <si>
    <t>TOTAL COMERÇ, TRANSPORT I HOSTELERIA (Font: Observem)</t>
  </si>
  <si>
    <t>COMERÇOS/1000HAB.</t>
  </si>
  <si>
    <t>Nº COMERÇOS LOCALS</t>
  </si>
  <si>
    <t>ÀREES INDUSTRIALS (Font: Observem)</t>
  </si>
  <si>
    <t>TOTAL INDÚSTRIA (Font: Observem)</t>
  </si>
  <si>
    <t>PERCENTATGE D'INDÚSTRIA AL MUNICIPI</t>
  </si>
  <si>
    <t>INDÚSTRIA /1000HAB.</t>
  </si>
  <si>
    <t>TAXA D'ATUR MARÇ (Font: Argos)</t>
  </si>
  <si>
    <t>TAXA D'ATUR JUVENIL MARÇ (Font: Argos)</t>
  </si>
  <si>
    <t>TAXA D'ATUR FEMENÍ MARÇ  (Font: Argos)</t>
  </si>
  <si>
    <t>TOTAL COMERÇ, TRANSPORT I HOSTELERIA</t>
  </si>
  <si>
    <t>TOTAL Nº COMERÇOS LOCALS</t>
  </si>
  <si>
    <t>TOTAL ÀREES INDUSTRIALS</t>
  </si>
  <si>
    <t>TOTAL INDÚSTRIA</t>
  </si>
  <si>
    <t>TOTAL PERCENTATGE D'INDÚSTRIA AL MUNICIPI</t>
  </si>
  <si>
    <t>TOTAL TAXA D'ATUR MARÇ</t>
  </si>
  <si>
    <t>TOTAL TAXA D'ATUR JUVENIL MARÇ</t>
  </si>
  <si>
    <t>TOTAL TAXA D'ATUR FEMENÍ MARÇ</t>
  </si>
  <si>
    <t>2024</t>
  </si>
  <si>
    <t>RECURSOS HÍDRICS</t>
  </si>
  <si>
    <t>RECURSOS ELÈCTRICS</t>
  </si>
  <si>
    <t>CONSUM MUNICIAL D'AIGUA (l/dia) (Font: Ajuntaments)</t>
  </si>
  <si>
    <t>DESPESA MUNICIPAL D'AIGUA (€/any) (Font: Ajuntaments)</t>
  </si>
  <si>
    <t>CONSUM ELÈCTRIC MUNICIPAL (mWh) (Font: Ajuntaments)</t>
  </si>
  <si>
    <t>DESPESA ELÈCTRICA MUNICIPAL (Font: Ajuntaments)</t>
  </si>
  <si>
    <t>ENERGIA RENOVABLE INSTAL·LADA (kw)</t>
  </si>
  <si>
    <t>BONIFICACIÓ IBI (Font: Ajuntaments)</t>
  </si>
  <si>
    <t>BONIFICACIÓ ICIO (Font: Ajuntaments)</t>
  </si>
  <si>
    <t>DECLARACIÓ RESPONSABLE SUFICIENT (Font: Ajuntaments)</t>
  </si>
  <si>
    <t>TEMPS MITJÀ CONCESSIÓ LLICÈNCIES (Font: Ajuntaments)</t>
  </si>
  <si>
    <t>Nº INSTAL·LACIONS COMUNITÀRIES D'AUTOCONSUM (Font: Ajuntaments)</t>
  </si>
  <si>
    <t>M2 COBERTES CEDIDES PER INSTAL·LACIONS COMUNITÀRIES (Font: Ajuntaments)</t>
  </si>
  <si>
    <t>TOTAL CONSUM MUNICIAL D'AIGUA (l/dia)</t>
  </si>
  <si>
    <t>TOTAL DESPESA MUNICIPAL D'AIGUA (€/any)</t>
  </si>
  <si>
    <t>TOTAL CONSUM ELÈCTRIC MUNICIPAL (mWh)</t>
  </si>
  <si>
    <t>TOTAL DESPESA ELÈCTRICA MUNICIPAL</t>
  </si>
  <si>
    <t>TOTAL ENERGIA RENOVABLE INSTAL·LADA (kw)</t>
  </si>
  <si>
    <t>TOTAL BONIFICACIÓ IBI</t>
  </si>
  <si>
    <t>TOTAL BONIFICACIÓ ICIO</t>
  </si>
  <si>
    <t>TOTAL DECLARACIÓ RESPONSABLE SUFICIENT</t>
  </si>
  <si>
    <t>TOTAL TEMPS MITJÀ CONCESSIÓ LLICÈNCIES</t>
  </si>
  <si>
    <t>TOTAL Nº INSTAL·LACIONS COMUNITÀRIES D'AUTOCONSUM</t>
  </si>
  <si>
    <t>TOTAL M2 COBERTES CEDIDES PER INSTAL·LACIONS COMUNITÀRIES</t>
  </si>
  <si>
    <t xml:space="preserve">4.074, 6 </t>
  </si>
  <si>
    <t>971 mWh</t>
  </si>
  <si>
    <t>1.110 mWh</t>
  </si>
  <si>
    <t>% - ANYS</t>
  </si>
  <si>
    <t>15% - 5 anys</t>
  </si>
  <si>
    <t>50 % - 4 anys</t>
  </si>
  <si>
    <t>50% - 5 anys</t>
  </si>
  <si>
    <t>50% - 2 anys</t>
  </si>
  <si>
    <t>50% - 3 anys</t>
  </si>
  <si>
    <t>50% - 1 any</t>
  </si>
  <si>
    <t>15% - 3 anys</t>
  </si>
  <si>
    <t>30% - 5 anys</t>
  </si>
  <si>
    <t>30% - 10 anys</t>
  </si>
  <si>
    <t>10% - 5 anys</t>
  </si>
  <si>
    <t>45 dies</t>
  </si>
  <si>
    <t>1 mes</t>
  </si>
  <si>
    <t>1,5 mesos</t>
  </si>
  <si>
    <t xml:space="preserve">4 dies </t>
  </si>
  <si>
    <t>RESIDUS</t>
  </si>
  <si>
    <t>HABITATGE</t>
  </si>
  <si>
    <t>RESIDUS URBANS PER PERSONA (kg/hab.) (Font: EMTRE)</t>
  </si>
  <si>
    <t>RESIDUS INDUSTRIALS (t) (Font: GVA)</t>
  </si>
  <si>
    <t>HABITATGES TOTALS  (Font: Argos)</t>
  </si>
  <si>
    <t>HABITATGES BUITS (Font: Argos)</t>
  </si>
  <si>
    <t xml:space="preserve">HABITATGES BUITS / 1000 hab. </t>
  </si>
  <si>
    <t>TOTAL RESIDUS URBANS PER PERSONA (kg/hab.)</t>
  </si>
  <si>
    <t>TOTAL RESIDUS INDUSTRIALS</t>
  </si>
  <si>
    <t>TOTAL HABITATGES TOTALS</t>
  </si>
  <si>
    <t>TOTAL HABITATGES BUITS</t>
  </si>
  <si>
    <t xml:space="preserve">TOTAL HABITATGES BUITS / 1000 hab. </t>
  </si>
  <si>
    <t>DIF. RESIDUS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</si>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</sst>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#,##0\ &quot;€&quot;;[Red]\-#,##0\ &quot;€&quot;"/>
    <numFmt numFmtId="8" formatCode="#,##0.00\ &quot;€&quot;;[Red]\-#,##0.00\ &quot;€&quot;"/>
    <numFmt numFmtId="164" formatCode="#,##0.0"/>
    <numFmt numFmtId="165" formatCode="#,##0\ &quot;€&quot;"/>
    <numFmt numFmtId="166" formatCode="#,##0.000"/>
    <numFmt numFmtId="167" formatCode="#,##0.00\ &quot;€&quot;"/>
    <numFmt numFmtId="168" formatCode="0.000"/>
    <numFmt numFmtId="169" formatCode="#,##0.00000"/>
    <numFmt numFmtId="170" formatCode="_-* #,##0_-;\-* #,##0_-;_-* &quot;-&quot;??_-;_-@_-"/>
    <numFmt numFmtId="171" formatCode="0.0"/>
    <numFmt numFmtId="172" formatCode="#,##0.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ontserrat Medium"/>
      <family val="3"/>
    </font>
    <font>
      <b/>
      <sz val="10"/>
      <name val="Montserrat Medium"/>
      <family val="3"/>
    </font>
    <font>
      <sz val="10"/>
      <color theme="1"/>
      <name val="Montserrat Medium"/>
      <family val="3"/>
    </font>
    <font>
      <b/>
      <sz val="14"/>
      <color theme="0"/>
      <name val="Montserrat Medium"/>
      <family val="3"/>
    </font>
    <font>
      <b/>
      <sz val="10"/>
      <color theme="1"/>
      <name val="Montserrat Medium"/>
      <family val="3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Montserrat Medium"/>
      <family val="3"/>
    </font>
    <font>
      <b/>
      <sz val="3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ontserrat Medium"/>
      <family val="3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EE7E2"/>
        <bgColor indexed="64"/>
      </patternFill>
    </fill>
    <fill>
      <patternFill patternType="solid">
        <fgColor rgb="FFE6FAEA"/>
        <bgColor indexed="64"/>
      </patternFill>
    </fill>
    <fill>
      <patternFill patternType="solid">
        <fgColor rgb="FFE0F5AD"/>
        <bgColor indexed="64"/>
      </patternFill>
    </fill>
    <fill>
      <patternFill patternType="solid">
        <fgColor rgb="FFDDA1D0"/>
        <bgColor indexed="64"/>
      </patternFill>
    </fill>
    <fill>
      <patternFill patternType="solid">
        <fgColor rgb="FFF4F292"/>
        <bgColor indexed="64"/>
      </patternFill>
    </fill>
    <fill>
      <patternFill patternType="solid">
        <fgColor rgb="FFDB938D"/>
        <bgColor indexed="64"/>
      </patternFill>
    </fill>
    <fill>
      <patternFill patternType="solid">
        <fgColor rgb="FFD6E4F8"/>
        <bgColor indexed="64"/>
      </patternFill>
    </fill>
    <fill>
      <patternFill patternType="solid">
        <fgColor rgb="FFFF00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9" xfId="0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4" xfId="0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3" fontId="4" fillId="6" borderId="11" xfId="0" applyNumberFormat="1" applyFont="1" applyFill="1" applyBorder="1" applyAlignment="1">
      <alignment horizontal="center"/>
    </xf>
    <xf numFmtId="3" fontId="4" fillId="6" borderId="12" xfId="0" applyNumberFormat="1" applyFont="1" applyFill="1" applyBorder="1" applyAlignment="1">
      <alignment horizontal="center"/>
    </xf>
    <xf numFmtId="3" fontId="4" fillId="6" borderId="13" xfId="0" applyNumberFormat="1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/>
    </xf>
    <xf numFmtId="3" fontId="4" fillId="6" borderId="0" xfId="0" applyNumberFormat="1" applyFont="1" applyFill="1" applyAlignment="1">
      <alignment horizontal="center"/>
    </xf>
    <xf numFmtId="3" fontId="4" fillId="6" borderId="14" xfId="0" applyNumberFormat="1" applyFont="1" applyFill="1" applyBorder="1" applyAlignment="1">
      <alignment horizontal="center"/>
    </xf>
    <xf numFmtId="3" fontId="4" fillId="6" borderId="15" xfId="0" applyNumberFormat="1" applyFont="1" applyFill="1" applyBorder="1" applyAlignment="1">
      <alignment horizontal="center"/>
    </xf>
    <xf numFmtId="3" fontId="4" fillId="6" borderId="16" xfId="0" applyNumberFormat="1" applyFont="1" applyFill="1" applyBorder="1" applyAlignment="1">
      <alignment horizontal="center"/>
    </xf>
    <xf numFmtId="3" fontId="4" fillId="6" borderId="17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37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14" xfId="0" applyNumberFormat="1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7" borderId="7" xfId="0" applyFont="1" applyFill="1" applyBorder="1" applyAlignment="1">
      <alignment horizontal="right"/>
    </xf>
    <xf numFmtId="0" fontId="6" fillId="7" borderId="15" xfId="0" applyFont="1" applyFill="1" applyBorder="1" applyAlignment="1">
      <alignment horizontal="right"/>
    </xf>
    <xf numFmtId="3" fontId="4" fillId="0" borderId="0" xfId="0" applyNumberFormat="1" applyFont="1" applyAlignment="1">
      <alignment horizontal="center"/>
    </xf>
    <xf numFmtId="3" fontId="6" fillId="3" borderId="19" xfId="0" applyNumberFormat="1" applyFont="1" applyFill="1" applyBorder="1" applyAlignment="1">
      <alignment horizontal="center"/>
    </xf>
    <xf numFmtId="3" fontId="6" fillId="3" borderId="16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3" fontId="6" fillId="3" borderId="7" xfId="0" applyNumberFormat="1" applyFont="1" applyFill="1" applyBorder="1" applyAlignment="1">
      <alignment horizontal="center"/>
    </xf>
    <xf numFmtId="3" fontId="6" fillId="3" borderId="20" xfId="0" applyNumberFormat="1" applyFont="1" applyFill="1" applyBorder="1" applyAlignment="1">
      <alignment horizontal="center"/>
    </xf>
    <xf numFmtId="3" fontId="6" fillId="3" borderId="15" xfId="0" applyNumberFormat="1" applyFont="1" applyFill="1" applyBorder="1" applyAlignment="1">
      <alignment horizontal="center"/>
    </xf>
    <xf numFmtId="3" fontId="6" fillId="3" borderId="17" xfId="0" applyNumberFormat="1" applyFont="1" applyFill="1" applyBorder="1" applyAlignment="1">
      <alignment horizontal="center"/>
    </xf>
    <xf numFmtId="3" fontId="4" fillId="8" borderId="34" xfId="0" applyNumberFormat="1" applyFont="1" applyFill="1" applyBorder="1" applyAlignment="1">
      <alignment horizontal="center"/>
    </xf>
    <xf numFmtId="3" fontId="4" fillId="9" borderId="33" xfId="0" applyNumberFormat="1" applyFont="1" applyFill="1" applyBorder="1" applyAlignment="1">
      <alignment horizontal="center"/>
    </xf>
    <xf numFmtId="3" fontId="4" fillId="9" borderId="34" xfId="0" applyNumberFormat="1" applyFont="1" applyFill="1" applyBorder="1" applyAlignment="1">
      <alignment horizontal="center"/>
    </xf>
    <xf numFmtId="3" fontId="4" fillId="9" borderId="35" xfId="0" applyNumberFormat="1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6" fillId="3" borderId="5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3" fontId="6" fillId="3" borderId="14" xfId="0" applyNumberFormat="1" applyFont="1" applyFill="1" applyBorder="1" applyAlignment="1">
      <alignment horizontal="center"/>
    </xf>
    <xf numFmtId="4" fontId="4" fillId="6" borderId="5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center"/>
    </xf>
    <xf numFmtId="4" fontId="4" fillId="6" borderId="14" xfId="0" applyNumberFormat="1" applyFont="1" applyFill="1" applyBorder="1" applyAlignment="1">
      <alignment horizontal="center"/>
    </xf>
    <xf numFmtId="3" fontId="7" fillId="0" borderId="0" xfId="0" applyNumberFormat="1" applyFont="1"/>
    <xf numFmtId="4" fontId="4" fillId="6" borderId="15" xfId="0" applyNumberFormat="1" applyFont="1" applyFill="1" applyBorder="1" applyAlignment="1">
      <alignment horizontal="center"/>
    </xf>
    <xf numFmtId="4" fontId="4" fillId="6" borderId="16" xfId="0" applyNumberFormat="1" applyFont="1" applyFill="1" applyBorder="1" applyAlignment="1">
      <alignment horizontal="center"/>
    </xf>
    <xf numFmtId="4" fontId="4" fillId="6" borderId="17" xfId="0" applyNumberFormat="1" applyFont="1" applyFill="1" applyBorder="1" applyAlignment="1">
      <alignment horizontal="center"/>
    </xf>
    <xf numFmtId="4" fontId="4" fillId="6" borderId="11" xfId="0" applyNumberFormat="1" applyFont="1" applyFill="1" applyBorder="1" applyAlignment="1">
      <alignment horizontal="center"/>
    </xf>
    <xf numFmtId="4" fontId="4" fillId="6" borderId="12" xfId="0" applyNumberFormat="1" applyFont="1" applyFill="1" applyBorder="1" applyAlignment="1">
      <alignment horizontal="center"/>
    </xf>
    <xf numFmtId="4" fontId="4" fillId="6" borderId="13" xfId="0" applyNumberFormat="1" applyFont="1" applyFill="1" applyBorder="1" applyAlignment="1">
      <alignment horizontal="center"/>
    </xf>
    <xf numFmtId="4" fontId="4" fillId="3" borderId="15" xfId="0" applyNumberFormat="1" applyFont="1" applyFill="1" applyBorder="1" applyAlignment="1">
      <alignment horizontal="center"/>
    </xf>
    <xf numFmtId="4" fontId="4" fillId="3" borderId="16" xfId="0" applyNumberFormat="1" applyFont="1" applyFill="1" applyBorder="1" applyAlignment="1">
      <alignment horizontal="center"/>
    </xf>
    <xf numFmtId="4" fontId="4" fillId="3" borderId="17" xfId="0" applyNumberFormat="1" applyFont="1" applyFill="1" applyBorder="1" applyAlignment="1">
      <alignment horizontal="center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7" borderId="0" xfId="0" applyFont="1" applyFill="1" applyAlignment="1">
      <alignment horizontal="center"/>
    </xf>
    <xf numFmtId="0" fontId="6" fillId="7" borderId="5" xfId="0" applyFont="1" applyFill="1" applyBorder="1" applyAlignment="1">
      <alignment horizontal="righ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10" fontId="2" fillId="6" borderId="0" xfId="0" applyNumberFormat="1" applyFont="1" applyFill="1" applyAlignment="1">
      <alignment horizontal="center"/>
    </xf>
    <xf numFmtId="9" fontId="2" fillId="6" borderId="0" xfId="0" applyNumberFormat="1" applyFont="1" applyFill="1" applyAlignment="1">
      <alignment horizontal="center"/>
    </xf>
    <xf numFmtId="10" fontId="2" fillId="6" borderId="11" xfId="0" applyNumberFormat="1" applyFont="1" applyFill="1" applyBorder="1" applyAlignment="1">
      <alignment horizontal="center"/>
    </xf>
    <xf numFmtId="10" fontId="2" fillId="6" borderId="12" xfId="0" applyNumberFormat="1" applyFont="1" applyFill="1" applyBorder="1" applyAlignment="1">
      <alignment horizontal="center"/>
    </xf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10" fontId="2" fillId="6" borderId="5" xfId="0" applyNumberFormat="1" applyFont="1" applyFill="1" applyBorder="1" applyAlignment="1">
      <alignment horizontal="center"/>
    </xf>
    <xf numFmtId="9" fontId="2" fillId="6" borderId="15" xfId="0" applyNumberFormat="1" applyFont="1" applyFill="1" applyBorder="1" applyAlignment="1">
      <alignment horizontal="center"/>
    </xf>
    <xf numFmtId="9" fontId="2" fillId="6" borderId="16" xfId="0" applyNumberFormat="1" applyFont="1" applyFill="1" applyBorder="1" applyAlignment="1">
      <alignment horizontal="center"/>
    </xf>
    <xf numFmtId="6" fontId="4" fillId="0" borderId="11" xfId="0" applyNumberFormat="1" applyFont="1" applyBorder="1" applyAlignment="1">
      <alignment horizontal="center"/>
    </xf>
    <xf numFmtId="6" fontId="4" fillId="0" borderId="12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6" fontId="4" fillId="0" borderId="5" xfId="0" applyNumberFormat="1" applyFont="1" applyBorder="1" applyAlignment="1">
      <alignment horizontal="center"/>
    </xf>
    <xf numFmtId="6" fontId="4" fillId="0" borderId="0" xfId="0" applyNumberFormat="1" applyFont="1" applyAlignment="1">
      <alignment horizontal="center"/>
    </xf>
    <xf numFmtId="6" fontId="4" fillId="0" borderId="14" xfId="0" applyNumberFormat="1" applyFont="1" applyBorder="1" applyAlignment="1">
      <alignment horizontal="center"/>
    </xf>
    <xf numFmtId="9" fontId="2" fillId="6" borderId="12" xfId="0" applyNumberFormat="1" applyFont="1" applyFill="1" applyBorder="1" applyAlignment="1">
      <alignment horizontal="center"/>
    </xf>
    <xf numFmtId="9" fontId="2" fillId="6" borderId="14" xfId="0" applyNumberFormat="1" applyFont="1" applyFill="1" applyBorder="1" applyAlignment="1">
      <alignment horizontal="center"/>
    </xf>
    <xf numFmtId="9" fontId="2" fillId="6" borderId="17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7" borderId="19" xfId="0" applyFont="1" applyFill="1" applyBorder="1" applyAlignment="1">
      <alignment horizontal="left"/>
    </xf>
    <xf numFmtId="165" fontId="2" fillId="6" borderId="11" xfId="0" applyNumberFormat="1" applyFont="1" applyFill="1" applyBorder="1" applyAlignment="1">
      <alignment horizontal="center"/>
    </xf>
    <xf numFmtId="165" fontId="2" fillId="6" borderId="12" xfId="0" applyNumberFormat="1" applyFont="1" applyFill="1" applyBorder="1" applyAlignment="1">
      <alignment horizontal="center"/>
    </xf>
    <xf numFmtId="165" fontId="2" fillId="6" borderId="13" xfId="0" applyNumberFormat="1" applyFont="1" applyFill="1" applyBorder="1" applyAlignment="1">
      <alignment horizontal="center"/>
    </xf>
    <xf numFmtId="165" fontId="2" fillId="6" borderId="5" xfId="0" applyNumberFormat="1" applyFont="1" applyFill="1" applyBorder="1" applyAlignment="1">
      <alignment horizontal="center"/>
    </xf>
    <xf numFmtId="165" fontId="2" fillId="6" borderId="0" xfId="0" applyNumberFormat="1" applyFont="1" applyFill="1" applyAlignment="1">
      <alignment horizontal="center"/>
    </xf>
    <xf numFmtId="165" fontId="2" fillId="6" borderId="14" xfId="0" applyNumberFormat="1" applyFont="1" applyFill="1" applyBorder="1" applyAlignment="1">
      <alignment horizontal="center"/>
    </xf>
    <xf numFmtId="165" fontId="2" fillId="6" borderId="15" xfId="0" applyNumberFormat="1" applyFont="1" applyFill="1" applyBorder="1" applyAlignment="1">
      <alignment horizontal="center"/>
    </xf>
    <xf numFmtId="165" fontId="2" fillId="6" borderId="16" xfId="0" applyNumberFormat="1" applyFont="1" applyFill="1" applyBorder="1" applyAlignment="1">
      <alignment horizontal="center"/>
    </xf>
    <xf numFmtId="165" fontId="2" fillId="6" borderId="17" xfId="0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left"/>
    </xf>
    <xf numFmtId="0" fontId="4" fillId="7" borderId="20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167" fontId="2" fillId="6" borderId="0" xfId="0" applyNumberFormat="1" applyFont="1" applyFill="1" applyAlignment="1">
      <alignment horizontal="center"/>
    </xf>
    <xf numFmtId="167" fontId="2" fillId="6" borderId="14" xfId="0" applyNumberFormat="1" applyFont="1" applyFill="1" applyBorder="1" applyAlignment="1">
      <alignment horizontal="center"/>
    </xf>
    <xf numFmtId="6" fontId="4" fillId="0" borderId="15" xfId="0" applyNumberFormat="1" applyFont="1" applyBorder="1" applyAlignment="1">
      <alignment horizontal="center"/>
    </xf>
    <xf numFmtId="6" fontId="4" fillId="0" borderId="16" xfId="0" applyNumberFormat="1" applyFont="1" applyBorder="1" applyAlignment="1">
      <alignment horizontal="center"/>
    </xf>
    <xf numFmtId="6" fontId="4" fillId="0" borderId="1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7" xfId="0" applyBorder="1" applyAlignment="1">
      <alignment wrapText="1"/>
    </xf>
    <xf numFmtId="0" fontId="0" fillId="0" borderId="47" xfId="0" applyBorder="1"/>
    <xf numFmtId="0" fontId="0" fillId="0" borderId="36" xfId="0" applyBorder="1"/>
    <xf numFmtId="0" fontId="9" fillId="2" borderId="2" xfId="0" applyFont="1" applyFill="1" applyBorder="1"/>
    <xf numFmtId="0" fontId="8" fillId="0" borderId="2" xfId="0" applyFont="1" applyBorder="1"/>
    <xf numFmtId="0" fontId="8" fillId="0" borderId="10" xfId="0" applyFont="1" applyBorder="1"/>
    <xf numFmtId="0" fontId="8" fillId="7" borderId="33" xfId="0" applyFont="1" applyFill="1" applyBorder="1"/>
    <xf numFmtId="0" fontId="8" fillId="7" borderId="34" xfId="0" applyFont="1" applyFill="1" applyBorder="1"/>
    <xf numFmtId="0" fontId="8" fillId="7" borderId="35" xfId="0" applyFont="1" applyFill="1" applyBorder="1"/>
    <xf numFmtId="0" fontId="7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6" fillId="3" borderId="16" xfId="0" applyNumberFormat="1" applyFont="1" applyFill="1" applyBorder="1" applyAlignment="1">
      <alignment horizontal="center"/>
    </xf>
    <xf numFmtId="4" fontId="6" fillId="3" borderId="17" xfId="0" applyNumberFormat="1" applyFont="1" applyFill="1" applyBorder="1" applyAlignment="1">
      <alignment horizontal="center"/>
    </xf>
    <xf numFmtId="4" fontId="6" fillId="3" borderId="7" xfId="0" applyNumberFormat="1" applyFont="1" applyFill="1" applyBorder="1" applyAlignment="1">
      <alignment horizontal="center"/>
    </xf>
    <xf numFmtId="4" fontId="6" fillId="3" borderId="19" xfId="0" applyNumberFormat="1" applyFont="1" applyFill="1" applyBorder="1" applyAlignment="1">
      <alignment horizontal="center"/>
    </xf>
    <xf numFmtId="4" fontId="6" fillId="3" borderId="20" xfId="0" applyNumberFormat="1" applyFont="1" applyFill="1" applyBorder="1" applyAlignment="1">
      <alignment horizontal="center"/>
    </xf>
    <xf numFmtId="166" fontId="6" fillId="3" borderId="16" xfId="0" applyNumberFormat="1" applyFont="1" applyFill="1" applyBorder="1" applyAlignment="1">
      <alignment horizontal="center"/>
    </xf>
    <xf numFmtId="169" fontId="6" fillId="3" borderId="15" xfId="0" applyNumberFormat="1" applyFont="1" applyFill="1" applyBorder="1" applyAlignment="1">
      <alignment horizontal="center"/>
    </xf>
    <xf numFmtId="0" fontId="4" fillId="7" borderId="16" xfId="0" applyFont="1" applyFill="1" applyBorder="1" applyAlignment="1">
      <alignment horizontal="left"/>
    </xf>
    <xf numFmtId="169" fontId="6" fillId="3" borderId="11" xfId="0" applyNumberFormat="1" applyFont="1" applyFill="1" applyBorder="1" applyAlignment="1">
      <alignment horizontal="center"/>
    </xf>
    <xf numFmtId="166" fontId="6" fillId="3" borderId="12" xfId="0" applyNumberFormat="1" applyFont="1" applyFill="1" applyBorder="1" applyAlignment="1">
      <alignment horizontal="center"/>
    </xf>
    <xf numFmtId="4" fontId="6" fillId="3" borderId="13" xfId="0" applyNumberFormat="1" applyFont="1" applyFill="1" applyBorder="1" applyAlignment="1">
      <alignment horizontal="center"/>
    </xf>
    <xf numFmtId="0" fontId="4" fillId="7" borderId="12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right" vertical="center" wrapText="1"/>
    </xf>
    <xf numFmtId="3" fontId="6" fillId="3" borderId="7" xfId="0" applyNumberFormat="1" applyFont="1" applyFill="1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 vertical="center"/>
    </xf>
    <xf numFmtId="3" fontId="6" fillId="3" borderId="20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6" fillId="7" borderId="3" xfId="0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8" fontId="4" fillId="0" borderId="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49" xfId="0" applyBorder="1"/>
    <xf numFmtId="0" fontId="0" fillId="0" borderId="28" xfId="0" applyBorder="1" applyAlignment="1">
      <alignment wrapText="1"/>
    </xf>
    <xf numFmtId="0" fontId="3" fillId="0" borderId="33" xfId="0" applyFont="1" applyBorder="1" applyAlignment="1">
      <alignment horizontal="center" vertical="center"/>
    </xf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170" fontId="4" fillId="0" borderId="0" xfId="0" applyNumberFormat="1" applyFont="1" applyAlignment="1">
      <alignment horizontal="center"/>
    </xf>
    <xf numFmtId="170" fontId="4" fillId="0" borderId="1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2" xfId="0" applyFont="1" applyBorder="1" applyAlignment="1">
      <alignment horizontal="left"/>
    </xf>
    <xf numFmtId="3" fontId="4" fillId="0" borderId="5" xfId="0" applyNumberFormat="1" applyFont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8" fillId="12" borderId="33" xfId="0" applyFont="1" applyFill="1" applyBorder="1"/>
    <xf numFmtId="0" fontId="8" fillId="12" borderId="34" xfId="0" applyFont="1" applyFill="1" applyBorder="1"/>
    <xf numFmtId="0" fontId="8" fillId="12" borderId="35" xfId="0" applyFont="1" applyFill="1" applyBorder="1"/>
    <xf numFmtId="0" fontId="12" fillId="0" borderId="0" xfId="0" applyFont="1"/>
    <xf numFmtId="0" fontId="1" fillId="12" borderId="33" xfId="0" applyFont="1" applyFill="1" applyBorder="1" applyAlignment="1">
      <alignment horizontal="center"/>
    </xf>
    <xf numFmtId="0" fontId="1" fillId="11" borderId="3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3" borderId="33" xfId="0" applyFont="1" applyFill="1" applyBorder="1" applyAlignment="1">
      <alignment horizontal="center"/>
    </xf>
    <xf numFmtId="0" fontId="0" fillId="13" borderId="45" xfId="0" applyFill="1" applyBorder="1" applyAlignment="1">
      <alignment wrapText="1"/>
    </xf>
    <xf numFmtId="0" fontId="0" fillId="13" borderId="45" xfId="0" applyFill="1" applyBorder="1"/>
    <xf numFmtId="0" fontId="0" fillId="13" borderId="46" xfId="0" applyFill="1" applyBorder="1"/>
    <xf numFmtId="0" fontId="4" fillId="0" borderId="2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5" xfId="0" quotePrefix="1" applyFont="1" applyFill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0" fontId="4" fillId="6" borderId="11" xfId="0" applyNumberFormat="1" applyFont="1" applyFill="1" applyBorder="1" applyAlignment="1">
      <alignment horizontal="center"/>
    </xf>
    <xf numFmtId="10" fontId="4" fillId="6" borderId="12" xfId="0" applyNumberFormat="1" applyFont="1" applyFill="1" applyBorder="1" applyAlignment="1">
      <alignment horizontal="center"/>
    </xf>
    <xf numFmtId="10" fontId="4" fillId="6" borderId="13" xfId="0" applyNumberFormat="1" applyFont="1" applyFill="1" applyBorder="1" applyAlignment="1">
      <alignment horizontal="center"/>
    </xf>
    <xf numFmtId="10" fontId="4" fillId="6" borderId="5" xfId="0" applyNumberFormat="1" applyFont="1" applyFill="1" applyBorder="1" applyAlignment="1">
      <alignment horizontal="center"/>
    </xf>
    <xf numFmtId="10" fontId="4" fillId="6" borderId="0" xfId="0" applyNumberFormat="1" applyFont="1" applyFill="1" applyAlignment="1">
      <alignment horizontal="center"/>
    </xf>
    <xf numFmtId="10" fontId="4" fillId="6" borderId="14" xfId="0" applyNumberFormat="1" applyFont="1" applyFill="1" applyBorder="1" applyAlignment="1">
      <alignment horizontal="center"/>
    </xf>
    <xf numFmtId="10" fontId="4" fillId="6" borderId="15" xfId="0" applyNumberFormat="1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/>
    </xf>
    <xf numFmtId="10" fontId="4" fillId="6" borderId="17" xfId="0" applyNumberFormat="1" applyFont="1" applyFill="1" applyBorder="1" applyAlignment="1">
      <alignment horizontal="center"/>
    </xf>
    <xf numFmtId="10" fontId="6" fillId="3" borderId="7" xfId="0" applyNumberFormat="1" applyFont="1" applyFill="1" applyBorder="1" applyAlignment="1">
      <alignment horizontal="center"/>
    </xf>
    <xf numFmtId="10" fontId="6" fillId="3" borderId="19" xfId="0" applyNumberFormat="1" applyFont="1" applyFill="1" applyBorder="1" applyAlignment="1">
      <alignment horizontal="center"/>
    </xf>
    <xf numFmtId="10" fontId="6" fillId="3" borderId="20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3" fontId="7" fillId="0" borderId="14" xfId="0" applyNumberFormat="1" applyFont="1" applyBorder="1"/>
    <xf numFmtId="3" fontId="7" fillId="0" borderId="17" xfId="0" applyNumberFormat="1" applyFont="1" applyBorder="1"/>
    <xf numFmtId="164" fontId="6" fillId="3" borderId="11" xfId="0" applyNumberFormat="1" applyFont="1" applyFill="1" applyBorder="1" applyAlignment="1">
      <alignment horizontal="center"/>
    </xf>
    <xf numFmtId="164" fontId="6" fillId="3" borderId="12" xfId="0" applyNumberFormat="1" applyFont="1" applyFill="1" applyBorder="1" applyAlignment="1">
      <alignment horizontal="center"/>
    </xf>
    <xf numFmtId="3" fontId="4" fillId="3" borderId="13" xfId="0" applyNumberFormat="1" applyFont="1" applyFill="1" applyBorder="1" applyAlignment="1">
      <alignment horizontal="center"/>
    </xf>
    <xf numFmtId="3" fontId="4" fillId="3" borderId="20" xfId="0" applyNumberFormat="1" applyFont="1" applyFill="1" applyBorder="1" applyAlignment="1">
      <alignment horizontal="center"/>
    </xf>
    <xf numFmtId="3" fontId="7" fillId="0" borderId="13" xfId="0" applyNumberFormat="1" applyFont="1" applyBorder="1"/>
    <xf numFmtId="0" fontId="4" fillId="0" borderId="38" xfId="0" applyFont="1" applyBorder="1" applyAlignment="1">
      <alignment horizontal="center"/>
    </xf>
    <xf numFmtId="9" fontId="4" fillId="6" borderId="15" xfId="0" applyNumberFormat="1" applyFont="1" applyFill="1" applyBorder="1" applyAlignment="1">
      <alignment horizontal="center"/>
    </xf>
    <xf numFmtId="9" fontId="4" fillId="6" borderId="16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6" fillId="7" borderId="35" xfId="0" applyFont="1" applyFill="1" applyBorder="1" applyAlignment="1">
      <alignment horizontal="right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7" fillId="0" borderId="13" xfId="0" applyFont="1" applyBorder="1"/>
    <xf numFmtId="0" fontId="4" fillId="6" borderId="5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7" fillId="0" borderId="14" xfId="0" applyFont="1" applyBorder="1"/>
    <xf numFmtId="3" fontId="4" fillId="0" borderId="5" xfId="0" applyNumberFormat="1" applyFont="1" applyBorder="1" applyAlignment="1">
      <alignment horizontal="center" vertical="center"/>
    </xf>
    <xf numFmtId="0" fontId="6" fillId="7" borderId="3" xfId="0" applyFont="1" applyFill="1" applyBorder="1" applyAlignment="1">
      <alignment horizontal="right" wrapText="1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3" fontId="4" fillId="3" borderId="13" xfId="0" applyNumberFormat="1" applyFont="1" applyFill="1" applyBorder="1" applyAlignment="1">
      <alignment horizontal="center" vertical="center"/>
    </xf>
    <xf numFmtId="0" fontId="1" fillId="14" borderId="33" xfId="0" applyFont="1" applyFill="1" applyBorder="1" applyAlignment="1">
      <alignment horizontal="center"/>
    </xf>
    <xf numFmtId="0" fontId="0" fillId="0" borderId="41" xfId="0" applyBorder="1" applyAlignment="1">
      <alignment wrapText="1"/>
    </xf>
    <xf numFmtId="0" fontId="0" fillId="14" borderId="44" xfId="0" applyFill="1" applyBorder="1" applyAlignment="1">
      <alignment horizontal="left"/>
    </xf>
    <xf numFmtId="0" fontId="0" fillId="14" borderId="46" xfId="0" applyFill="1" applyBorder="1" applyAlignment="1">
      <alignment horizontal="left"/>
    </xf>
    <xf numFmtId="4" fontId="4" fillId="0" borderId="0" xfId="0" applyNumberFormat="1" applyFont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6" fillId="3" borderId="19" xfId="0" applyNumberFormat="1" applyFont="1" applyFill="1" applyBorder="1" applyAlignment="1">
      <alignment horizontal="center"/>
    </xf>
    <xf numFmtId="2" fontId="6" fillId="3" borderId="11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/>
    </xf>
    <xf numFmtId="1" fontId="6" fillId="3" borderId="7" xfId="0" applyNumberFormat="1" applyFont="1" applyFill="1" applyBorder="1" applyAlignment="1">
      <alignment horizontal="center"/>
    </xf>
    <xf numFmtId="1" fontId="6" fillId="3" borderId="19" xfId="0" applyNumberFormat="1" applyFont="1" applyFill="1" applyBorder="1" applyAlignment="1">
      <alignment horizontal="center"/>
    </xf>
    <xf numFmtId="1" fontId="6" fillId="3" borderId="20" xfId="0" applyNumberFormat="1" applyFont="1" applyFill="1" applyBorder="1" applyAlignment="1">
      <alignment horizontal="center"/>
    </xf>
    <xf numFmtId="1" fontId="6" fillId="3" borderId="11" xfId="0" applyNumberFormat="1" applyFont="1" applyFill="1" applyBorder="1" applyAlignment="1">
      <alignment horizontal="center"/>
    </xf>
    <xf numFmtId="1" fontId="6" fillId="3" borderId="12" xfId="0" applyNumberFormat="1" applyFont="1" applyFill="1" applyBorder="1" applyAlignment="1">
      <alignment horizontal="center"/>
    </xf>
    <xf numFmtId="1" fontId="6" fillId="3" borderId="13" xfId="0" applyNumberFormat="1" applyFont="1" applyFill="1" applyBorder="1" applyAlignment="1">
      <alignment horizontal="center"/>
    </xf>
    <xf numFmtId="1" fontId="6" fillId="3" borderId="15" xfId="0" applyNumberFormat="1" applyFont="1" applyFill="1" applyBorder="1" applyAlignment="1">
      <alignment horizontal="center"/>
    </xf>
    <xf numFmtId="1" fontId="6" fillId="3" borderId="16" xfId="0" applyNumberFormat="1" applyFont="1" applyFill="1" applyBorder="1" applyAlignment="1">
      <alignment horizontal="center"/>
    </xf>
    <xf numFmtId="1" fontId="6" fillId="3" borderId="17" xfId="0" applyNumberFormat="1" applyFont="1" applyFill="1" applyBorder="1" applyAlignment="1">
      <alignment horizontal="center"/>
    </xf>
    <xf numFmtId="6" fontId="4" fillId="6" borderId="0" xfId="0" applyNumberFormat="1" applyFont="1" applyFill="1" applyAlignment="1">
      <alignment horizontal="center"/>
    </xf>
    <xf numFmtId="6" fontId="14" fillId="0" borderId="0" xfId="0" applyNumberFormat="1" applyFont="1" applyAlignment="1">
      <alignment horizontal="center" wrapText="1"/>
    </xf>
    <xf numFmtId="8" fontId="4" fillId="6" borderId="0" xfId="0" applyNumberFormat="1" applyFont="1" applyFill="1" applyAlignment="1">
      <alignment horizontal="center"/>
    </xf>
    <xf numFmtId="6" fontId="4" fillId="0" borderId="11" xfId="0" applyNumberFormat="1" applyFont="1" applyBorder="1" applyAlignment="1">
      <alignment horizontal="center" wrapText="1"/>
    </xf>
    <xf numFmtId="6" fontId="4" fillId="0" borderId="12" xfId="0" applyNumberFormat="1" applyFont="1" applyBorder="1" applyAlignment="1">
      <alignment horizontal="center" wrapText="1"/>
    </xf>
    <xf numFmtId="8" fontId="4" fillId="0" borderId="12" xfId="0" applyNumberFormat="1" applyFont="1" applyBorder="1" applyAlignment="1">
      <alignment horizontal="center" wrapText="1"/>
    </xf>
    <xf numFmtId="8" fontId="4" fillId="0" borderId="13" xfId="0" applyNumberFormat="1" applyFont="1" applyBorder="1" applyAlignment="1">
      <alignment horizontal="center" wrapText="1"/>
    </xf>
    <xf numFmtId="6" fontId="4" fillId="6" borderId="14" xfId="0" applyNumberFormat="1" applyFont="1" applyFill="1" applyBorder="1" applyAlignment="1">
      <alignment horizontal="center"/>
    </xf>
    <xf numFmtId="6" fontId="4" fillId="6" borderId="5" xfId="0" applyNumberFormat="1" applyFont="1" applyFill="1" applyBorder="1" applyAlignment="1">
      <alignment horizontal="center"/>
    </xf>
    <xf numFmtId="6" fontId="14" fillId="0" borderId="5" xfId="0" applyNumberFormat="1" applyFont="1" applyBorder="1" applyAlignment="1">
      <alignment horizontal="center" wrapText="1"/>
    </xf>
    <xf numFmtId="8" fontId="14" fillId="0" borderId="14" xfId="0" applyNumberFormat="1" applyFont="1" applyBorder="1" applyAlignment="1">
      <alignment horizontal="center" wrapText="1"/>
    </xf>
    <xf numFmtId="8" fontId="4" fillId="6" borderId="5" xfId="0" applyNumberFormat="1" applyFont="1" applyFill="1" applyBorder="1" applyAlignment="1">
      <alignment horizontal="center"/>
    </xf>
    <xf numFmtId="8" fontId="4" fillId="6" borderId="14" xfId="0" applyNumberFormat="1" applyFont="1" applyFill="1" applyBorder="1" applyAlignment="1">
      <alignment horizontal="center"/>
    </xf>
    <xf numFmtId="8" fontId="4" fillId="6" borderId="15" xfId="0" applyNumberFormat="1" applyFont="1" applyFill="1" applyBorder="1" applyAlignment="1">
      <alignment horizontal="center"/>
    </xf>
    <xf numFmtId="8" fontId="4" fillId="6" borderId="16" xfId="0" applyNumberFormat="1" applyFont="1" applyFill="1" applyBorder="1" applyAlignment="1">
      <alignment horizontal="center"/>
    </xf>
    <xf numFmtId="8" fontId="4" fillId="6" borderId="17" xfId="0" applyNumberFormat="1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14" borderId="44" xfId="0" applyFill="1" applyBorder="1"/>
    <xf numFmtId="0" fontId="0" fillId="14" borderId="45" xfId="0" applyFill="1" applyBorder="1"/>
    <xf numFmtId="0" fontId="0" fillId="14" borderId="46" xfId="0" applyFill="1" applyBorder="1"/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8" fontId="4" fillId="0" borderId="12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8" fontId="14" fillId="0" borderId="0" xfId="0" applyNumberFormat="1" applyFont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8" fontId="4" fillId="0" borderId="16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8" fontId="4" fillId="15" borderId="16" xfId="0" applyNumberFormat="1" applyFont="1" applyFill="1" applyBorder="1" applyAlignment="1">
      <alignment horizontal="center" vertical="center"/>
    </xf>
    <xf numFmtId="6" fontId="14" fillId="0" borderId="14" xfId="0" applyNumberFormat="1" applyFont="1" applyBorder="1" applyAlignment="1">
      <alignment horizontal="center" wrapText="1"/>
    </xf>
    <xf numFmtId="6" fontId="4" fillId="6" borderId="15" xfId="0" applyNumberFormat="1" applyFont="1" applyFill="1" applyBorder="1" applyAlignment="1">
      <alignment horizontal="center"/>
    </xf>
    <xf numFmtId="6" fontId="4" fillId="6" borderId="16" xfId="0" applyNumberFormat="1" applyFont="1" applyFill="1" applyBorder="1" applyAlignment="1">
      <alignment horizontal="center"/>
    </xf>
    <xf numFmtId="6" fontId="4" fillId="6" borderId="17" xfId="0" applyNumberFormat="1" applyFont="1" applyFill="1" applyBorder="1" applyAlignment="1">
      <alignment horizontal="center"/>
    </xf>
    <xf numFmtId="172" fontId="6" fillId="3" borderId="15" xfId="0" applyNumberFormat="1" applyFont="1" applyFill="1" applyBorder="1" applyAlignment="1">
      <alignment horizontal="center"/>
    </xf>
    <xf numFmtId="172" fontId="6" fillId="3" borderId="16" xfId="0" applyNumberFormat="1" applyFont="1" applyFill="1" applyBorder="1" applyAlignment="1">
      <alignment horizontal="center"/>
    </xf>
    <xf numFmtId="172" fontId="6" fillId="3" borderId="17" xfId="0" applyNumberFormat="1" applyFont="1" applyFill="1" applyBorder="1" applyAlignment="1">
      <alignment horizontal="center"/>
    </xf>
    <xf numFmtId="172" fontId="6" fillId="3" borderId="11" xfId="0" applyNumberFormat="1" applyFont="1" applyFill="1" applyBorder="1" applyAlignment="1">
      <alignment horizontal="center"/>
    </xf>
    <xf numFmtId="172" fontId="6" fillId="3" borderId="12" xfId="0" applyNumberFormat="1" applyFont="1" applyFill="1" applyBorder="1" applyAlignment="1">
      <alignment horizontal="center"/>
    </xf>
    <xf numFmtId="172" fontId="6" fillId="3" borderId="13" xfId="0" applyNumberFormat="1" applyFont="1" applyFill="1" applyBorder="1" applyAlignment="1">
      <alignment horizontal="center"/>
    </xf>
    <xf numFmtId="165" fontId="6" fillId="3" borderId="15" xfId="0" applyNumberFormat="1" applyFont="1" applyFill="1" applyBorder="1" applyAlignment="1">
      <alignment horizontal="center"/>
    </xf>
    <xf numFmtId="165" fontId="6" fillId="3" borderId="16" xfId="0" applyNumberFormat="1" applyFont="1" applyFill="1" applyBorder="1" applyAlignment="1">
      <alignment horizontal="center"/>
    </xf>
    <xf numFmtId="165" fontId="6" fillId="3" borderId="17" xfId="0" applyNumberFormat="1" applyFont="1" applyFill="1" applyBorder="1" applyAlignment="1">
      <alignment horizontal="center"/>
    </xf>
    <xf numFmtId="165" fontId="6" fillId="3" borderId="11" xfId="0" applyNumberFormat="1" applyFont="1" applyFill="1" applyBorder="1" applyAlignment="1">
      <alignment horizontal="center"/>
    </xf>
    <xf numFmtId="165" fontId="6" fillId="3" borderId="12" xfId="0" applyNumberFormat="1" applyFont="1" applyFill="1" applyBorder="1" applyAlignment="1">
      <alignment horizontal="center"/>
    </xf>
    <xf numFmtId="165" fontId="6" fillId="3" borderId="13" xfId="0" applyNumberFormat="1" applyFont="1" applyFill="1" applyBorder="1" applyAlignment="1">
      <alignment horizontal="center"/>
    </xf>
    <xf numFmtId="165" fontId="6" fillId="3" borderId="7" xfId="0" applyNumberFormat="1" applyFont="1" applyFill="1" applyBorder="1" applyAlignment="1">
      <alignment horizontal="center"/>
    </xf>
    <xf numFmtId="165" fontId="6" fillId="3" borderId="19" xfId="0" applyNumberFormat="1" applyFont="1" applyFill="1" applyBorder="1" applyAlignment="1">
      <alignment horizontal="center"/>
    </xf>
    <xf numFmtId="165" fontId="6" fillId="3" borderId="20" xfId="0" applyNumberFormat="1" applyFont="1" applyFill="1" applyBorder="1" applyAlignment="1">
      <alignment horizontal="center"/>
    </xf>
    <xf numFmtId="2" fontId="4" fillId="6" borderId="5" xfId="0" applyNumberFormat="1" applyFont="1" applyFill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0" xfId="0" applyNumberFormat="1" applyFont="1" applyAlignment="1">
      <alignment horizontal="center" wrapText="1"/>
    </xf>
    <xf numFmtId="2" fontId="4" fillId="6" borderId="15" xfId="0" applyNumberFormat="1" applyFont="1" applyFill="1" applyBorder="1" applyAlignment="1">
      <alignment horizontal="center"/>
    </xf>
    <xf numFmtId="2" fontId="4" fillId="6" borderId="16" xfId="0" applyNumberFormat="1" applyFont="1" applyFill="1" applyBorder="1" applyAlignment="1">
      <alignment horizontal="center"/>
    </xf>
    <xf numFmtId="171" fontId="4" fillId="6" borderId="5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1" fontId="4" fillId="6" borderId="5" xfId="0" applyNumberFormat="1" applyFont="1" applyFill="1" applyBorder="1" applyAlignment="1">
      <alignment horizontal="center"/>
    </xf>
    <xf numFmtId="1" fontId="4" fillId="6" borderId="0" xfId="0" applyNumberFormat="1" applyFont="1" applyFill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1" fontId="14" fillId="0" borderId="5" xfId="0" applyNumberFormat="1" applyFont="1" applyBorder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1" fontId="14" fillId="0" borderId="14" xfId="0" applyNumberFormat="1" applyFont="1" applyBorder="1" applyAlignment="1">
      <alignment horizontal="center" wrapText="1"/>
    </xf>
    <xf numFmtId="1" fontId="4" fillId="6" borderId="15" xfId="0" applyNumberFormat="1" applyFont="1" applyFill="1" applyBorder="1" applyAlignment="1">
      <alignment horizontal="center"/>
    </xf>
    <xf numFmtId="1" fontId="4" fillId="6" borderId="16" xfId="0" applyNumberFormat="1" applyFont="1" applyFill="1" applyBorder="1" applyAlignment="1">
      <alignment horizontal="center"/>
    </xf>
    <xf numFmtId="1" fontId="4" fillId="6" borderId="17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1" fontId="14" fillId="9" borderId="0" xfId="0" applyNumberFormat="1" applyFont="1" applyFill="1" applyAlignment="1">
      <alignment horizontal="center" wrapText="1"/>
    </xf>
    <xf numFmtId="1" fontId="4" fillId="9" borderId="5" xfId="0" applyNumberFormat="1" applyFont="1" applyFill="1" applyBorder="1" applyAlignment="1">
      <alignment horizontal="center"/>
    </xf>
    <xf numFmtId="1" fontId="4" fillId="9" borderId="0" xfId="0" applyNumberFormat="1" applyFont="1" applyFill="1" applyAlignment="1">
      <alignment horizontal="center"/>
    </xf>
    <xf numFmtId="171" fontId="4" fillId="9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wrapText="1"/>
    </xf>
    <xf numFmtId="1" fontId="4" fillId="0" borderId="12" xfId="0" applyNumberFormat="1" applyFont="1" applyBorder="1" applyAlignment="1">
      <alignment horizontal="center" wrapText="1"/>
    </xf>
    <xf numFmtId="1" fontId="4" fillId="0" borderId="13" xfId="0" applyNumberFormat="1" applyFont="1" applyBorder="1" applyAlignment="1">
      <alignment horizontal="center" wrapText="1"/>
    </xf>
    <xf numFmtId="1" fontId="4" fillId="0" borderId="16" xfId="0" applyNumberFormat="1" applyFont="1" applyBorder="1" applyAlignment="1">
      <alignment horizontal="center" wrapText="1"/>
    </xf>
    <xf numFmtId="1" fontId="4" fillId="9" borderId="13" xfId="0" applyNumberFormat="1" applyFont="1" applyFill="1" applyBorder="1" applyAlignment="1">
      <alignment horizontal="center" wrapText="1"/>
    </xf>
    <xf numFmtId="1" fontId="14" fillId="9" borderId="14" xfId="0" applyNumberFormat="1" applyFont="1" applyFill="1" applyBorder="1" applyAlignment="1">
      <alignment horizontal="center" wrapText="1"/>
    </xf>
    <xf numFmtId="1" fontId="4" fillId="9" borderId="14" xfId="0" applyNumberFormat="1" applyFont="1" applyFill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1" fontId="4" fillId="9" borderId="11" xfId="0" applyNumberFormat="1" applyFont="1" applyFill="1" applyBorder="1" applyAlignment="1">
      <alignment horizontal="center" wrapText="1"/>
    </xf>
    <xf numFmtId="1" fontId="4" fillId="9" borderId="12" xfId="0" applyNumberFormat="1" applyFont="1" applyFill="1" applyBorder="1" applyAlignment="1">
      <alignment horizontal="center" wrapText="1"/>
    </xf>
    <xf numFmtId="1" fontId="4" fillId="9" borderId="15" xfId="0" applyNumberFormat="1" applyFont="1" applyFill="1" applyBorder="1" applyAlignment="1">
      <alignment horizontal="center"/>
    </xf>
    <xf numFmtId="1" fontId="4" fillId="9" borderId="16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6" fontId="4" fillId="0" borderId="13" xfId="0" applyNumberFormat="1" applyFont="1" applyBorder="1" applyAlignment="1">
      <alignment horizontal="center" wrapText="1"/>
    </xf>
    <xf numFmtId="0" fontId="0" fillId="0" borderId="9" xfId="0" applyBorder="1"/>
    <xf numFmtId="0" fontId="0" fillId="0" borderId="8" xfId="0" applyBorder="1"/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2" fontId="4" fillId="0" borderId="34" xfId="0" applyNumberFormat="1" applyFont="1" applyBorder="1" applyAlignment="1">
      <alignment horizontal="center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/>
    </xf>
    <xf numFmtId="2" fontId="4" fillId="9" borderId="34" xfId="0" applyNumberFormat="1" applyFont="1" applyFill="1" applyBorder="1" applyAlignment="1">
      <alignment horizontal="center"/>
    </xf>
    <xf numFmtId="2" fontId="4" fillId="9" borderId="35" xfId="0" applyNumberFormat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 wrapText="1"/>
    </xf>
    <xf numFmtId="2" fontId="4" fillId="0" borderId="12" xfId="0" applyNumberFormat="1" applyFont="1" applyBorder="1" applyAlignment="1">
      <alignment horizont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19" xfId="0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 vertical="center"/>
    </xf>
    <xf numFmtId="0" fontId="11" fillId="14" borderId="19" xfId="0" applyFont="1" applyFill="1" applyBorder="1" applyAlignment="1">
      <alignment horizontal="center" vertical="center"/>
    </xf>
    <xf numFmtId="0" fontId="11" fillId="14" borderId="20" xfId="0" applyFont="1" applyFill="1" applyBorder="1" applyAlignment="1">
      <alignment horizontal="center" vertical="center"/>
    </xf>
    <xf numFmtId="0" fontId="11" fillId="14" borderId="5" xfId="0" applyFont="1" applyFill="1" applyBorder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1">
    <cellStyle name="Normal" xfId="0" builtinId="0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Montserrat Medium"/>
        <family val="3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6FAEA"/>
      <color rgb="FFD6E4F8"/>
      <color rgb="FFDB938D"/>
      <color rgb="FFE0F5AD"/>
      <color rgb="FFDDA1D0"/>
      <color rgb="FFF4F292"/>
      <color rgb="FF454551"/>
      <color rgb="FF00BEA0"/>
      <color rgb="FFF56E24"/>
      <color rgb="FFFE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microsoft.com/office/2007/relationships/slicerCache" Target="slicerCaches/slicerCache6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07/relationships/slicerCache" Target="slicerCaches/slicerCache5.xml"/><Relationship Id="rId2" Type="http://schemas.openxmlformats.org/officeDocument/2006/relationships/worksheet" Target="worksheets/sheet2.xml"/><Relationship Id="rId16" Type="http://schemas.microsoft.com/office/2007/relationships/slicerCache" Target="slicerCaches/slicerCache4.xml"/><Relationship Id="rId20" Type="http://schemas.microsoft.com/office/2007/relationships/slicerCache" Target="slicerCaches/slicerCache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07/relationships/slicerCache" Target="slicerCaches/slicerCache3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14</xdr:row>
      <xdr:rowOff>12699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F056FF-1256-409D-BF0D-B0630F3F5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2679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9524</xdr:colOff>
      <xdr:row>0</xdr:row>
      <xdr:rowOff>11906</xdr:rowOff>
    </xdr:from>
    <xdr:to>
      <xdr:col>15</xdr:col>
      <xdr:colOff>476249</xdr:colOff>
      <xdr:row>4</xdr:row>
      <xdr:rowOff>47624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ATEGORÍA">
              <a:extLst>
                <a:ext uri="{FF2B5EF4-FFF2-40B4-BE49-F238E27FC236}">
                  <a16:creationId xmlns:a16="http://schemas.microsoft.com/office/drawing/2014/main" id="{CDEE4F6A-E22B-129B-21F7-D92608D319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65506" y="11906"/>
              <a:ext cx="5784850" cy="1192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2380</xdr:colOff>
      <xdr:row>0</xdr:row>
      <xdr:rowOff>0</xdr:rowOff>
    </xdr:from>
    <xdr:to>
      <xdr:col>15</xdr:col>
      <xdr:colOff>71437</xdr:colOff>
      <xdr:row>7</xdr:row>
      <xdr:rowOff>124844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CATEGORÍA 1">
              <a:extLst>
                <a:ext uri="{FF2B5EF4-FFF2-40B4-BE49-F238E27FC236}">
                  <a16:creationId xmlns:a16="http://schemas.microsoft.com/office/drawing/2014/main" id="{3D90259E-3FBF-8186-EDA4-C77EDC7571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69791" y="0"/>
              <a:ext cx="6010842" cy="19731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14287</xdr:colOff>
      <xdr:row>0</xdr:row>
      <xdr:rowOff>1</xdr:rowOff>
    </xdr:from>
    <xdr:to>
      <xdr:col>12</xdr:col>
      <xdr:colOff>47626</xdr:colOff>
      <xdr:row>3</xdr:row>
      <xdr:rowOff>190501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ATEGORÍA 2">
              <a:extLst>
                <a:ext uri="{FF2B5EF4-FFF2-40B4-BE49-F238E27FC236}">
                  <a16:creationId xmlns:a16="http://schemas.microsoft.com/office/drawing/2014/main" id="{6748B1C2-4F71-4233-9022-780DCA7EDC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64629" y="1"/>
              <a:ext cx="3702971" cy="11530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276223</xdr:colOff>
      <xdr:row>0</xdr:row>
      <xdr:rowOff>0</xdr:rowOff>
    </xdr:from>
    <xdr:to>
      <xdr:col>14</xdr:col>
      <xdr:colOff>0</xdr:colOff>
      <xdr:row>235</xdr:row>
      <xdr:rowOff>22678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CATEGORÍA 3">
              <a:extLst>
                <a:ext uri="{FF2B5EF4-FFF2-40B4-BE49-F238E27FC236}">
                  <a16:creationId xmlns:a16="http://schemas.microsoft.com/office/drawing/2014/main" id="{F59D2C01-6BBE-231E-994F-B80B9D00F7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48723" y="0"/>
              <a:ext cx="4134759" cy="34244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2381</xdr:colOff>
      <xdr:row>0</xdr:row>
      <xdr:rowOff>0</xdr:rowOff>
    </xdr:from>
    <xdr:to>
      <xdr:col>13</xdr:col>
      <xdr:colOff>130968</xdr:colOff>
      <xdr:row>3</xdr:row>
      <xdr:rowOff>204106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CATEGORÍA 4">
              <a:extLst>
                <a:ext uri="{FF2B5EF4-FFF2-40B4-BE49-F238E27FC236}">
                  <a16:creationId xmlns:a16="http://schemas.microsoft.com/office/drawing/2014/main" id="{72B83EB1-D34D-95CA-2851-9EDC98DAD9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69792" y="0"/>
              <a:ext cx="4550908" cy="11679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457653</xdr:colOff>
      <xdr:row>0</xdr:row>
      <xdr:rowOff>1</xdr:rowOff>
    </xdr:from>
    <xdr:to>
      <xdr:col>15</xdr:col>
      <xdr:colOff>283481</xdr:colOff>
      <xdr:row>140</xdr:row>
      <xdr:rowOff>158751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CATEGORÍA 5">
              <a:extLst>
                <a:ext uri="{FF2B5EF4-FFF2-40B4-BE49-F238E27FC236}">
                  <a16:creationId xmlns:a16="http://schemas.microsoft.com/office/drawing/2014/main" id="{6A2603C9-AB4F-813E-BF44-6289A39892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05421" y="1"/>
              <a:ext cx="5552167" cy="295955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4079</xdr:colOff>
      <xdr:row>0</xdr:row>
      <xdr:rowOff>0</xdr:rowOff>
    </xdr:from>
    <xdr:to>
      <xdr:col>13</xdr:col>
      <xdr:colOff>68035</xdr:colOff>
      <xdr:row>27</xdr:row>
      <xdr:rowOff>27668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ATEGORÍA 6">
              <a:extLst>
                <a:ext uri="{FF2B5EF4-FFF2-40B4-BE49-F238E27FC236}">
                  <a16:creationId xmlns:a16="http://schemas.microsoft.com/office/drawing/2014/main" id="{2F780281-307E-626B-E7AE-C6E7DDA5BA1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28097" y="0"/>
              <a:ext cx="3794581" cy="12182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2381</xdr:colOff>
      <xdr:row>0</xdr:row>
      <xdr:rowOff>7144</xdr:rowOff>
    </xdr:from>
    <xdr:to>
      <xdr:col>11</xdr:col>
      <xdr:colOff>23813</xdr:colOff>
      <xdr:row>26</xdr:row>
      <xdr:rowOff>166688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CATEGORÍA 7">
              <a:extLst>
                <a:ext uri="{FF2B5EF4-FFF2-40B4-BE49-F238E27FC236}">
                  <a16:creationId xmlns:a16="http://schemas.microsoft.com/office/drawing/2014/main" id="{2B49FEC6-6B24-D547-DD39-2087E0DCCA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36694" y="7144"/>
              <a:ext cx="2997994" cy="1552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hortasud-my.sharepoint.com/personal/julio_fundaciohortasud_org/Documents/Fundaci&#243;/04%20SER&#192;%20HORTA%20SUD%202030/2023-2024%20WEB%20DADES%20OBSERVATORI%20COMARCAL%20SERA%20HORTA%20SUD%202030.xlsx" TargetMode="External"/><Relationship Id="rId1" Type="http://schemas.openxmlformats.org/officeDocument/2006/relationships/externalLinkPath" Target="2023-2024%20WEB%20DADES%20OBSERVATORI%20COMARCAL%20SERA%20HORTA%20SUD%2020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SERVATORI"/>
      <sheetName val="DADES GENERALS"/>
      <sheetName val="MOBILITAT"/>
      <sheetName val="CIUTATS VERDES"/>
      <sheetName val="PARTICIPACIO"/>
      <sheetName val="ECONOMIA URBANA"/>
      <sheetName val="RECURSOS HÍDRICS"/>
      <sheetName val="RECURSOS ELÈCTRICS"/>
      <sheetName val="RESIDUS"/>
      <sheetName val="HABITATGE"/>
    </sheetNames>
    <sheetDataSet>
      <sheetData sheetId="0"/>
      <sheetData sheetId="1">
        <row r="3">
          <cell r="F3">
            <v>114</v>
          </cell>
        </row>
        <row r="6">
          <cell r="F6">
            <v>1172</v>
          </cell>
        </row>
        <row r="15">
          <cell r="F15">
            <v>670</v>
          </cell>
        </row>
        <row r="19">
          <cell r="F19">
            <v>246</v>
          </cell>
        </row>
        <row r="21">
          <cell r="F21">
            <v>3333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" xr10:uid="{1C5AD375-D817-4051-9A97-1C54C3CABEAD}" sourceName="CATEGORÍA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1" xr10:uid="{E1447DB9-6F10-4C9B-B927-75B5F73E757E}" sourceName="CATEGORÍA">
  <extLst>
    <x:ext xmlns:x15="http://schemas.microsoft.com/office/spreadsheetml/2010/11/main" uri="{2F2917AC-EB37-4324-AD4E-5DD8C200BD13}">
      <x15:tableSlicerCache tableId="2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11" xr10:uid="{213D4954-0AE0-47E9-86D9-0BFD2B5446DC}" sourceName="CATEGORÍA">
  <extLst>
    <x:ext xmlns:x15="http://schemas.microsoft.com/office/spreadsheetml/2010/11/main" uri="{2F2917AC-EB37-4324-AD4E-5DD8C200BD13}">
      <x15:tableSlicerCache tableId="3" column="2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2" xr10:uid="{BD737777-A30D-4D5E-98C3-F7F4F27E7EA5}" sourceName="CATEGORÍA">
  <extLst>
    <x:ext xmlns:x15="http://schemas.microsoft.com/office/spreadsheetml/2010/11/main" uri="{2F2917AC-EB37-4324-AD4E-5DD8C200BD13}">
      <x15:tableSlicerCache tableId="5" column="2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3" xr10:uid="{42254646-82AB-4722-BB3F-4F7CE25261E6}" sourceName="CATEGORÍA">
  <extLst>
    <x:ext xmlns:x15="http://schemas.microsoft.com/office/spreadsheetml/2010/11/main" uri="{2F2917AC-EB37-4324-AD4E-5DD8C200BD13}">
      <x15:tableSlicerCache tableId="6" column="2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4" xr10:uid="{E247525F-3C47-4200-A0F4-2403F721ACAB}" sourceName="CATEGORÍA">
  <extLst>
    <x:ext xmlns:x15="http://schemas.microsoft.com/office/spreadsheetml/2010/11/main" uri="{2F2917AC-EB37-4324-AD4E-5DD8C200BD13}">
      <x15:tableSlicerCache tableId="7" column="2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5" xr10:uid="{0F5C19A1-8FDC-486D-B4FF-15052C91D83D}" sourceName="CATEGORÍA">
  <extLst>
    <x:ext xmlns:x15="http://schemas.microsoft.com/office/spreadsheetml/2010/11/main" uri="{2F2917AC-EB37-4324-AD4E-5DD8C200BD13}">
      <x15:tableSlicerCache tableId="9" column="2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6" xr10:uid="{38764E0E-5B6C-4F89-A74A-E3E911C8FC9F}" sourceName="CATEGORÍA">
  <extLst>
    <x:ext xmlns:x15="http://schemas.microsoft.com/office/spreadsheetml/2010/11/main" uri="{2F2917AC-EB37-4324-AD4E-5DD8C200BD13}">
      <x15:tableSlicerCache tableId="10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" xr10:uid="{64DC66A3-CCE4-46F7-9D47-532D81C14561}" cache="SegmentaciónDeDatos_CATEGORÍA" caption="CATEGORÍA" columnCount="3" style="SlicerStyleLight4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1" xr10:uid="{19722017-F5B4-480A-8143-DBF10174EAF8}" cache="SegmentaciónDeDatos_CATEGORÍA1" caption="CATEGORÍA" style="SlicerStyleOther1" rowHeight="288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2" xr10:uid="{EF08BC2D-33A1-4E20-B675-8BEE207C4167}" cache="SegmentaciónDeDatos_CATEGORÍA11" caption="CATEGORÍA" style="SlicerStyleOther1" rowHeight="288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3" xr10:uid="{AC1C4BD8-C5AF-40EA-BD2D-D634973B7319}" cache="SegmentaciónDeDatos_CATEGORÍA2" caption="CATEGORÍA" style="SlicerStyleOther1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4" xr10:uid="{2B0B900B-338F-4788-B89C-83C86DEA8023}" cache="SegmentaciónDeDatos_CATEGORÍA3" caption="CATEGORÍA" style="SlicerStyleOther1" rowHeight="360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5" xr10:uid="{3632E365-BF92-45FA-A448-AE2A64C5D07D}" cache="SegmentaciónDeDatos_CATEGORÍA4" caption="CATEGORÍA" style="SlicerStyleOther1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6" xr10:uid="{7236DB23-4067-4EF3-B480-A54E62E3A672}" cache="SegmentaciónDeDatos_CATEGORÍA5" caption="CATEGORÍA" style="SlicerStyleOther1" rowHeight="324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7" xr10:uid="{9A7E2AC6-1F1A-46EC-AEC4-405E4EFE499B}" cache="SegmentaciónDeDatos_CATEGORÍA6" caption="CATEGORÍA" style="SlicerStyleOther1" rowHeight="36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436922-E98D-4DD3-8D03-3FCEAA1EF042}" name="Tabla1" displayName="Tabla1" ref="A2:G160" totalsRowShown="0" headerRowDxfId="83" dataDxfId="82" tableBorderDxfId="81">
  <autoFilter ref="A2:G160" xr:uid="{A6436922-E98D-4DD3-8D03-3FCEAA1EF042}">
    <filterColumn colId="1">
      <filters>
        <filter val="POBLACIÓ"/>
      </filters>
    </filterColumn>
  </autoFilter>
  <tableColumns count="7">
    <tableColumn id="1" xr3:uid="{F928265D-1E3D-4613-99D7-7F85D9919C88}" name="POBLACIONS" dataDxfId="80"/>
    <tableColumn id="2" xr3:uid="{760C439B-5162-464E-9860-4B27FECBE407}" name="CATEGORÍA" dataDxfId="79"/>
    <tableColumn id="3" xr3:uid="{B5060C9F-6868-49EE-A394-0482CA9F3C1B}" name="2020" dataDxfId="78"/>
    <tableColumn id="4" xr3:uid="{2309FBF4-8684-4035-9C4E-44C9611BCB0E}" name="2021" dataDxfId="77"/>
    <tableColumn id="5" xr3:uid="{133283ED-4106-43CD-9735-251A36F9E371}" name="2022" dataDxfId="76"/>
    <tableColumn id="6" xr3:uid="{2C74D850-83AF-41E3-9CC1-AF4DA73DD155}" name="2023" dataDxfId="75"/>
    <tableColumn id="7" xr3:uid="{430FC48B-23E9-41A2-A894-486E973E87AD}" name="DIF.POBLACIÓ (2023-2020)" dataDxfId="74">
      <calculatedColumnFormula>Tabla1[[#This Row],[2023]]-Tabla1[[#This Row],[2020]]</calculatedColumnFormula>
    </tableColumn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0A7864-7F21-4DA1-B62F-AB5437B09597}" name="Tabla13" displayName="Tabla13" ref="A2:F109" totalsRowShown="0" headerRowDxfId="73" dataDxfId="72" tableBorderDxfId="71">
  <autoFilter ref="A2:F109" xr:uid="{780A7864-7F21-4DA1-B62F-AB5437B09597}">
    <filterColumn colId="1">
      <filters>
        <filter val="KMS CARRIL BICI (Font: Ajuntaments)"/>
      </filters>
    </filterColumn>
  </autoFilter>
  <tableColumns count="6">
    <tableColumn id="1" xr3:uid="{7DED133D-B75F-40B7-9639-BFD128A13EC6}" name="POBLACIONS" dataDxfId="70"/>
    <tableColumn id="2" xr3:uid="{572CB73F-2C66-481D-A305-651AFD40DDE9}" name="CATEGORÍA" dataDxfId="69"/>
    <tableColumn id="3" xr3:uid="{98F66F13-7FED-44EB-AA05-828D24C08803}" name="2020" dataDxfId="68"/>
    <tableColumn id="4" xr3:uid="{9E850532-B11C-48B5-B625-F687F3911C0A}" name="2021" dataDxfId="67"/>
    <tableColumn id="5" xr3:uid="{9EE9424B-E4CF-48D9-89B8-D0DC159C6902}" name="2022" dataDxfId="66"/>
    <tableColumn id="6" xr3:uid="{4942D588-21DC-4DC5-B8A4-5C2BDA0E9B3F}" name="2023" dataDxfId="65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7EC5F6-6E7D-4D9D-A5F2-63F2FF86DCDE}" name="Tabla134" displayName="Tabla134" ref="A2:F42" totalsRowShown="0" headerRowDxfId="64" dataDxfId="63" tableBorderDxfId="62">
  <autoFilter ref="A2:F42" xr:uid="{037EC5F6-6E7D-4D9D-A5F2-63F2FF86DCDE}">
    <filterColumn colId="1">
      <filters>
        <filter val="M2 ZONES VERDES / HAB. (Font: Ajuntaments)"/>
      </filters>
    </filterColumn>
  </autoFilter>
  <tableColumns count="6">
    <tableColumn id="1" xr3:uid="{A3E8E4FB-B976-4783-B5DB-FDF8542301BB}" name="POBLACIONS" dataDxfId="61"/>
    <tableColumn id="2" xr3:uid="{50961E89-81D3-428F-91ED-6A8AA66267C3}" name="CATEGORÍA" dataDxfId="60"/>
    <tableColumn id="3" xr3:uid="{D0B729BE-5790-43A5-B4E8-E570877ECE75}" name="2020" dataDxfId="59"/>
    <tableColumn id="4" xr3:uid="{561FE30D-56BF-4AF0-AE54-49794B1A04D1}" name="2021" dataDxfId="58"/>
    <tableColumn id="5" xr3:uid="{BC8F1DA6-F7F1-4123-8A63-99FA2E47AD20}" name="2022" dataDxfId="57"/>
    <tableColumn id="6" xr3:uid="{A0ADE162-1E4B-41D9-B593-1A2445CE9DE7}" name="2023" dataDxfId="56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213FA9-85A4-4868-B652-97135E72EA63}" name="Tabla1345" displayName="Tabla1345" ref="A2:F3" totalsRowShown="0" headerRowDxfId="55" tableBorderDxfId="54">
  <autoFilter ref="A2:F3" xr:uid="{95213FA9-85A4-4868-B652-97135E72EA63}"/>
  <tableColumns count="6">
    <tableColumn id="1" xr3:uid="{C181D832-F3E7-44F9-901B-5EE0AA71634E}" name="POBLACIONS" dataDxfId="53"/>
    <tableColumn id="2" xr3:uid="{6F9AB740-2A92-4691-9E1D-8347D6029B2E}" name="CATEGORÍA" dataDxfId="52"/>
    <tableColumn id="3" xr3:uid="{6758EF6D-6D49-4F12-8EE9-D0BB6AF898FC}" name="2020" dataDxfId="51"/>
    <tableColumn id="4" xr3:uid="{A5AD4332-C534-44A1-BF9B-BA64FB9A67DC}" name="2021" dataDxfId="50"/>
    <tableColumn id="5" xr3:uid="{35001D29-85C1-4877-9986-5FB1FAF8ED7A}" name="2022" dataDxfId="49"/>
    <tableColumn id="6" xr3:uid="{C32B681E-F482-4003-828D-E15895C307B6}" name="2023" dataDxfId="48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70406D-4062-4F52-AB95-F86C6375C11B}" name="Tabla16" displayName="Tabla16" ref="A2:G246" totalsRowShown="0" headerRowDxfId="47" dataDxfId="46" tableBorderDxfId="45">
  <autoFilter ref="A2:G246" xr:uid="{3870406D-4062-4F52-AB95-F86C6375C11B}">
    <filterColumn colId="1">
      <filters>
        <filter val="TAXA D'ATUR FEMENÍ MARÇ  (Font: Argos)"/>
      </filters>
    </filterColumn>
  </autoFilter>
  <tableColumns count="7">
    <tableColumn id="1" xr3:uid="{F5FB92DD-F009-4AE4-BDA2-422D26F5F795}" name="POBLACIONS" dataDxfId="44"/>
    <tableColumn id="2" xr3:uid="{AE68A040-3683-4FEB-98B5-45AAB82D9CF1}" name="CATEGORÍA" dataDxfId="43"/>
    <tableColumn id="3" xr3:uid="{90B89D92-2F08-4C4B-B6EB-13DB872030F5}" name="2020" dataDxfId="42"/>
    <tableColumn id="4" xr3:uid="{0B4BC7EF-6EC4-4488-9BA0-1FFAFFADBEEB}" name="2021" dataDxfId="41"/>
    <tableColumn id="5" xr3:uid="{C5DC462E-0201-43C0-86FB-F0FAF8332820}" name="2022" dataDxfId="40"/>
    <tableColumn id="6" xr3:uid="{CF7C284B-F0F8-4116-A6D9-CFAA1934CD26}" name="2023" dataDxfId="39"/>
    <tableColumn id="7" xr3:uid="{E97A025E-692E-4023-84A2-D5309303947B}" name="2024" dataDxfId="38">
      <calculatedColumnFormula>Tabla16[[#This Row],[2023]]-Tabla16[[#This Row],[2020]]</calculatedColumnFormula>
    </tableColumn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92E23F-E170-42F2-B7BF-07A10448D741}" name="Tabla137" displayName="Tabla137" ref="A2:F45" totalsRowShown="0" headerRowDxfId="37" dataDxfId="36" tableBorderDxfId="35">
  <autoFilter ref="A2:F45" xr:uid="{8C92E23F-E170-42F2-B7BF-07A10448D741}">
    <filterColumn colId="1">
      <filters>
        <filter val="CONSUM MUNICIAL D'AIGUA (l/dia) (Font: Ajuntaments)"/>
      </filters>
    </filterColumn>
  </autoFilter>
  <tableColumns count="6">
    <tableColumn id="1" xr3:uid="{C0200685-22C9-4879-97DA-9A4C4D46677C}" name="POBLACIONS" dataDxfId="34"/>
    <tableColumn id="2" xr3:uid="{907CA84E-4E5A-4ACD-A758-BA263B56331A}" name="CATEGORÍA" dataDxfId="33"/>
    <tableColumn id="3" xr3:uid="{9B2A2AD3-2136-4E82-AB9B-DC359C23EF12}" name="2020" dataDxfId="32"/>
    <tableColumn id="4" xr3:uid="{47C7E6AD-8186-4222-A820-F1ADAA82685D}" name="2021" dataDxfId="31"/>
    <tableColumn id="5" xr3:uid="{439FC476-BB2A-4487-8E28-2E9DE829B2FC}" name="2022" dataDxfId="30"/>
    <tableColumn id="6" xr3:uid="{3D53D631-1FE7-4CFD-8046-E9D61181EB94}" name="2023" dataDxfId="29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E1462B6-F608-41CA-95D1-00421174D3B6}" name="Tabla1378" displayName="Tabla1378" ref="A2:G190" totalsRowShown="0" headerRowDxfId="28" dataDxfId="27" tableBorderDxfId="26">
  <autoFilter ref="A2:G190" xr:uid="{0E1462B6-F608-41CA-95D1-00421174D3B6}">
    <filterColumn colId="1">
      <filters>
        <filter val="TEMPS MITJÀ CONCESSIÓ LLICÈNCIES (Font: Ajuntaments)"/>
      </filters>
    </filterColumn>
  </autoFilter>
  <tableColumns count="7">
    <tableColumn id="1" xr3:uid="{499AF590-4BB3-4111-AC88-ED3047A9667D}" name="POBLACIONS" dataDxfId="25"/>
    <tableColumn id="2" xr3:uid="{E31D7988-635C-417F-8DB4-5445F3B5C6AA}" name="CATEGORÍA" dataDxfId="24"/>
    <tableColumn id="3" xr3:uid="{BCDCE2FF-03A1-404F-BF63-E05EFB70A545}" name="2020" dataDxfId="23"/>
    <tableColumn id="4" xr3:uid="{B38AA5E2-BC07-4B93-AC8C-D2B8C9BA8B7F}" name="2021" dataDxfId="22"/>
    <tableColumn id="5" xr3:uid="{920B5B8B-F9F0-4EA0-B8A4-F35281C30397}" name="2022" dataDxfId="21"/>
    <tableColumn id="6" xr3:uid="{30CF8505-7536-4DBC-ABA5-9186011D62BD}" name="2023" dataDxfId="20"/>
    <tableColumn id="8" xr3:uid="{7AF20EFE-4AFB-4D57-B4E8-86BDC687CA6D}" name="% - ANYS" dataDxfId="19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856E1A6-3B26-4AA8-8EB8-03E765530494}" name="Tabla137810" displayName="Tabla137810" ref="A2:G48" totalsRowShown="0" headerRowDxfId="18" dataDxfId="17" tableBorderDxfId="16">
  <autoFilter ref="A2:G48" xr:uid="{4856E1A6-3B26-4AA8-8EB8-03E765530494}">
    <filterColumn colId="1">
      <filters>
        <filter val="RESIDUS INDUSTRIALS (t) (Font: GVA)"/>
      </filters>
    </filterColumn>
  </autoFilter>
  <tableColumns count="7">
    <tableColumn id="1" xr3:uid="{83C0BC90-E8E7-4F73-BA3F-170C00853B7D}" name="POBLACIONS" dataDxfId="15"/>
    <tableColumn id="2" xr3:uid="{D581BC72-399A-46F8-8176-B981ED3EB569}" name="CATEGORÍA" dataDxfId="14"/>
    <tableColumn id="3" xr3:uid="{382A7E3A-0740-4BC9-A6FA-6C9B7784B9C2}" name="2020" dataDxfId="13"/>
    <tableColumn id="4" xr3:uid="{7821E19F-3BA8-4689-9E4E-E0EE38F83244}" name="2021" dataDxfId="12"/>
    <tableColumn id="5" xr3:uid="{8AEC8252-3488-4C2E-8A7D-C8F941AD5089}" name="2022" dataDxfId="11"/>
    <tableColumn id="6" xr3:uid="{109E8BDA-F2A3-4050-8464-CEA55A25A51B}" name="2023" dataDxfId="10"/>
    <tableColumn id="8" xr3:uid="{01FFC540-7CAA-4657-B05C-8539853D212D}" name="DIF. RESIDUS" dataDxfId="9">
      <calculatedColumnFormula>Tabla137810[[#This Row],[2021]]-Tabla137810[[#This Row],[2020]]</calculatedColumnFormula>
    </tableColumn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0786CA8-3CEA-4956-A72A-CF8F325A1A1C}" name="Tabla13781011" displayName="Tabla13781011" ref="A2:F69" totalsRowShown="0" headerRowDxfId="8" dataDxfId="7" tableBorderDxfId="6">
  <autoFilter ref="A2:F69" xr:uid="{40786CA8-3CEA-4956-A72A-CF8F325A1A1C}">
    <filterColumn colId="1">
      <filters>
        <filter val="HABITATGES BUITS (Font: Argos)"/>
      </filters>
    </filterColumn>
  </autoFilter>
  <tableColumns count="6">
    <tableColumn id="1" xr3:uid="{91419D5B-31CC-4B5C-BF9B-42C7BDFDD516}" name="POBLACIONS" dataDxfId="5"/>
    <tableColumn id="2" xr3:uid="{C07DEAA5-FB9E-4BD5-B9C9-523BB86B3540}" name="CATEGORÍA" dataDxfId="4"/>
    <tableColumn id="3" xr3:uid="{6B78DD47-F12F-4BCC-B870-ACD14B08C66E}" name="2011" dataDxfId="3"/>
    <tableColumn id="4" xr3:uid="{73E447D9-2547-45C9-902E-6CF42FE6E26C}" name="2021" dataDxfId="2"/>
    <tableColumn id="5" xr3:uid="{A4D65DC1-94DE-4BE7-96F6-AA8F10D5C43D}" name="2022" dataDxfId="1"/>
    <tableColumn id="6" xr3:uid="{241B43A3-3239-4367-92F8-AC4BCA33CB93}" name="2023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hs1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00BEA0"/>
      </a:accent1>
      <a:accent2>
        <a:srgbClr val="F16422"/>
      </a:accent2>
      <a:accent3>
        <a:srgbClr val="F7D047"/>
      </a:accent3>
      <a:accent4>
        <a:srgbClr val="4C4C4E"/>
      </a:accent4>
      <a:accent5>
        <a:srgbClr val="F5F5F5"/>
      </a:accent5>
      <a:accent6>
        <a:srgbClr val="5988F2"/>
      </a:accent6>
      <a:hlink>
        <a:srgbClr val="CCCCCC"/>
      </a:hlink>
      <a:folHlink>
        <a:srgbClr val="E9E9E9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quartdepoblet.org/portal/RecursosWeb/DOCUMENTOS/1/PMUS_Quart_de_Poblet.pdf" TargetMode="External"/><Relationship Id="rId13" Type="http://schemas.openxmlformats.org/officeDocument/2006/relationships/table" Target="../tables/table2.xml"/><Relationship Id="rId3" Type="http://schemas.openxmlformats.org/officeDocument/2006/relationships/hyperlink" Target="http://alfafar.es/wp-content/uploads/2013/06/Plan-de-movilidad-Urbana-Sostenible.pdf" TargetMode="External"/><Relationship Id="rId7" Type="http://schemas.openxmlformats.org/officeDocument/2006/relationships/hyperlink" Target="http://pmuspicassent.es/wp-content/uploads/2016/12/PMUSPicassent_Diagn%C3%B3stico.pdf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s://mingenieria.org/planes-de-participacion-publica/albal/" TargetMode="External"/><Relationship Id="rId1" Type="http://schemas.openxmlformats.org/officeDocument/2006/relationships/hyperlink" Target="https://www.alaquas.org/ficheros/documentos/2019/31/17508/PMUSAlaquasDEF.pdf" TargetMode="External"/><Relationship Id="rId6" Type="http://schemas.openxmlformats.org/officeDocument/2006/relationships/hyperlink" Target="https://transparencia.paiporta.es/es/transparencia/plan-movilidad-urbana-sostenible-de-paiporta-pmus" TargetMode="External"/><Relationship Id="rId11" Type="http://schemas.openxmlformats.org/officeDocument/2006/relationships/hyperlink" Target="https://www.xirivella.es/wp-content/uploads/2018/02/Borrador%20PMUS.pdf" TargetMode="External"/><Relationship Id="rId5" Type="http://schemas.openxmlformats.org/officeDocument/2006/relationships/hyperlink" Target="../../../../Usuario/Downloads/20191120-plan-de-movilidad-mislata.PDF" TargetMode="External"/><Relationship Id="rId10" Type="http://schemas.openxmlformats.org/officeDocument/2006/relationships/hyperlink" Target="http://www.silla.es/es/urbanismo/agenda/i/93136/1492/informacio-publica-pla-mobilitat-urbana-sostenible-de-silla-pmus" TargetMode="External"/><Relationship Id="rId4" Type="http://schemas.openxmlformats.org/officeDocument/2006/relationships/hyperlink" Target="https://www.benetusser.es/sites/default/files/emus_benetusser_definitivo_0.pdf" TargetMode="External"/><Relationship Id="rId9" Type="http://schemas.openxmlformats.org/officeDocument/2006/relationships/hyperlink" Target="http://www.sedavi.es/sites/default/files/u64/fase_i_diagnostico.pdf" TargetMode="External"/><Relationship Id="rId14" Type="http://schemas.microsoft.com/office/2007/relationships/slicer" Target="../slicers/slicer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EABA-BA95-4197-B932-72A87684C715}">
  <sheetPr>
    <tabColor theme="4"/>
  </sheetPr>
  <dimension ref="A1:K58"/>
  <sheetViews>
    <sheetView workbookViewId="0">
      <selection activeCell="A58" sqref="A56:A58"/>
    </sheetView>
  </sheetViews>
  <sheetFormatPr baseColWidth="10" defaultRowHeight="15" x14ac:dyDescent="0.25"/>
  <cols>
    <col min="1" max="1" width="60.5703125" style="135" bestFit="1" customWidth="1"/>
    <col min="3" max="3" width="53.7109375" bestFit="1" customWidth="1"/>
    <col min="4" max="4" width="38.42578125" bestFit="1" customWidth="1"/>
    <col min="5" max="5" width="47.42578125" bestFit="1" customWidth="1"/>
    <col min="6" max="6" width="16" customWidth="1"/>
    <col min="7" max="7" width="38.42578125" bestFit="1" customWidth="1"/>
    <col min="8" max="8" width="53.28515625" bestFit="1" customWidth="1"/>
    <col min="9" max="9" width="73.28515625" bestFit="1" customWidth="1"/>
    <col min="10" max="10" width="50.85546875" bestFit="1" customWidth="1"/>
    <col min="11" max="11" width="31.7109375" bestFit="1" customWidth="1"/>
  </cols>
  <sheetData>
    <row r="1" spans="1:11" ht="15.75" thickBot="1" x14ac:dyDescent="0.3">
      <c r="A1" s="129" t="s">
        <v>0</v>
      </c>
      <c r="B1" s="7" t="s">
        <v>21</v>
      </c>
      <c r="C1" s="118" t="s">
        <v>22</v>
      </c>
      <c r="D1" s="206" t="s">
        <v>44</v>
      </c>
      <c r="E1" s="207" t="s">
        <v>66</v>
      </c>
      <c r="F1" s="208" t="s">
        <v>69</v>
      </c>
      <c r="G1" s="209" t="s">
        <v>73</v>
      </c>
      <c r="H1" s="264" t="s">
        <v>94</v>
      </c>
      <c r="I1" s="264" t="s">
        <v>95</v>
      </c>
      <c r="J1" s="119" t="s">
        <v>136</v>
      </c>
      <c r="K1" s="119" t="s">
        <v>137</v>
      </c>
    </row>
    <row r="2" spans="1:11" x14ac:dyDescent="0.25">
      <c r="A2" s="130" t="s">
        <v>1</v>
      </c>
      <c r="B2" s="6">
        <v>2020</v>
      </c>
      <c r="C2" s="120" t="s">
        <v>46</v>
      </c>
      <c r="D2" s="183" t="s">
        <v>45</v>
      </c>
      <c r="E2" s="120" t="s">
        <v>67</v>
      </c>
      <c r="G2" s="123" t="s">
        <v>74</v>
      </c>
      <c r="H2" s="301" t="s">
        <v>96</v>
      </c>
      <c r="I2" s="123" t="s">
        <v>98</v>
      </c>
      <c r="J2" s="381" t="s">
        <v>138</v>
      </c>
      <c r="K2" s="8" t="s">
        <v>140</v>
      </c>
    </row>
    <row r="3" spans="1:11" ht="30.75" thickBot="1" x14ac:dyDescent="0.3">
      <c r="A3" s="130" t="s">
        <v>2</v>
      </c>
      <c r="B3" s="6">
        <v>2021</v>
      </c>
      <c r="C3" s="121" t="s">
        <v>47</v>
      </c>
      <c r="D3" s="184" t="s">
        <v>53</v>
      </c>
      <c r="E3" s="122" t="s">
        <v>68</v>
      </c>
      <c r="G3" s="265" t="s">
        <v>75</v>
      </c>
      <c r="H3" s="125" t="s">
        <v>97</v>
      </c>
      <c r="I3" s="124" t="s">
        <v>99</v>
      </c>
      <c r="J3" s="380" t="s">
        <v>139</v>
      </c>
      <c r="K3" s="1" t="s">
        <v>141</v>
      </c>
    </row>
    <row r="4" spans="1:11" ht="45" x14ac:dyDescent="0.25">
      <c r="A4" s="130" t="s">
        <v>3</v>
      </c>
      <c r="B4" s="6">
        <v>2022</v>
      </c>
      <c r="C4" s="121" t="s">
        <v>48</v>
      </c>
      <c r="D4" s="126" t="s">
        <v>54</v>
      </c>
      <c r="G4" s="121" t="s">
        <v>76</v>
      </c>
      <c r="I4" s="121" t="s">
        <v>100</v>
      </c>
      <c r="K4" s="1" t="s">
        <v>142</v>
      </c>
    </row>
    <row r="5" spans="1:11" x14ac:dyDescent="0.25">
      <c r="A5" s="130" t="s">
        <v>4</v>
      </c>
      <c r="B5" s="6">
        <v>2023</v>
      </c>
      <c r="C5" s="121" t="s">
        <v>49</v>
      </c>
      <c r="D5" s="127" t="s">
        <v>55</v>
      </c>
      <c r="G5" s="121" t="s">
        <v>77</v>
      </c>
      <c r="I5" s="121" t="s">
        <v>101</v>
      </c>
    </row>
    <row r="6" spans="1:11" ht="15.75" thickBot="1" x14ac:dyDescent="0.3">
      <c r="A6" s="130" t="s">
        <v>5</v>
      </c>
      <c r="B6" s="235">
        <v>2024</v>
      </c>
      <c r="C6" s="121" t="s">
        <v>50</v>
      </c>
      <c r="D6" s="128" t="s">
        <v>56</v>
      </c>
      <c r="G6" s="121" t="s">
        <v>78</v>
      </c>
      <c r="I6" s="121" t="s">
        <v>102</v>
      </c>
    </row>
    <row r="7" spans="1:11" x14ac:dyDescent="0.25">
      <c r="A7" s="130" t="s">
        <v>6</v>
      </c>
      <c r="B7" s="235">
        <v>2025</v>
      </c>
      <c r="C7" s="121" t="s">
        <v>51</v>
      </c>
      <c r="G7" s="121" t="s">
        <v>79</v>
      </c>
      <c r="I7" s="121" t="s">
        <v>103</v>
      </c>
    </row>
    <row r="8" spans="1:11" ht="15.75" thickBot="1" x14ac:dyDescent="0.3">
      <c r="A8" s="130" t="s">
        <v>7</v>
      </c>
      <c r="B8" s="235">
        <v>2026</v>
      </c>
      <c r="C8" s="122" t="s">
        <v>52</v>
      </c>
      <c r="G8" s="121" t="s">
        <v>80</v>
      </c>
      <c r="I8" s="121" t="s">
        <v>104</v>
      </c>
    </row>
    <row r="9" spans="1:11" x14ac:dyDescent="0.25">
      <c r="A9" s="130" t="s">
        <v>8</v>
      </c>
      <c r="B9" s="235">
        <v>2027</v>
      </c>
      <c r="G9" s="121" t="s">
        <v>81</v>
      </c>
      <c r="I9" s="121" t="s">
        <v>105</v>
      </c>
    </row>
    <row r="10" spans="1:11" ht="15.75" thickBot="1" x14ac:dyDescent="0.3">
      <c r="A10" s="130" t="s">
        <v>9</v>
      </c>
      <c r="B10" s="235">
        <v>2028</v>
      </c>
      <c r="G10" s="121" t="s">
        <v>82</v>
      </c>
      <c r="I10" s="122" t="s">
        <v>106</v>
      </c>
    </row>
    <row r="11" spans="1:11" x14ac:dyDescent="0.25">
      <c r="A11" s="130" t="s">
        <v>10</v>
      </c>
      <c r="B11" s="235">
        <v>2029</v>
      </c>
      <c r="G11" s="121" t="s">
        <v>83</v>
      </c>
    </row>
    <row r="12" spans="1:11" ht="15.75" thickBot="1" x14ac:dyDescent="0.3">
      <c r="A12" s="130" t="s">
        <v>11</v>
      </c>
      <c r="B12" s="235">
        <v>2030</v>
      </c>
      <c r="G12" s="122" t="s">
        <v>84</v>
      </c>
    </row>
    <row r="13" spans="1:11" x14ac:dyDescent="0.25">
      <c r="A13" s="130" t="s">
        <v>12</v>
      </c>
    </row>
    <row r="14" spans="1:11" x14ac:dyDescent="0.25">
      <c r="A14" s="130" t="s">
        <v>13</v>
      </c>
    </row>
    <row r="15" spans="1:11" x14ac:dyDescent="0.25">
      <c r="A15" s="130" t="s">
        <v>14</v>
      </c>
    </row>
    <row r="16" spans="1:11" x14ac:dyDescent="0.25">
      <c r="A16" s="130" t="s">
        <v>15</v>
      </c>
    </row>
    <row r="17" spans="1:1" x14ac:dyDescent="0.25">
      <c r="A17" s="130" t="s">
        <v>16</v>
      </c>
    </row>
    <row r="18" spans="1:1" x14ac:dyDescent="0.25">
      <c r="A18" s="130" t="s">
        <v>17</v>
      </c>
    </row>
    <row r="19" spans="1:1" x14ac:dyDescent="0.25">
      <c r="A19" s="130" t="s">
        <v>18</v>
      </c>
    </row>
    <row r="20" spans="1:1" x14ac:dyDescent="0.25">
      <c r="A20" s="130" t="s">
        <v>19</v>
      </c>
    </row>
    <row r="21" spans="1:1" ht="15.75" thickBot="1" x14ac:dyDescent="0.3">
      <c r="A21" s="131" t="s">
        <v>20</v>
      </c>
    </row>
    <row r="22" spans="1:1" x14ac:dyDescent="0.25">
      <c r="A22" s="132" t="s">
        <v>36</v>
      </c>
    </row>
    <row r="23" spans="1:1" x14ac:dyDescent="0.25">
      <c r="A23" s="133" t="s">
        <v>37</v>
      </c>
    </row>
    <row r="24" spans="1:1" x14ac:dyDescent="0.25">
      <c r="A24" s="133" t="s">
        <v>38</v>
      </c>
    </row>
    <row r="25" spans="1:1" x14ac:dyDescent="0.25">
      <c r="A25" s="133" t="s">
        <v>39</v>
      </c>
    </row>
    <row r="26" spans="1:1" x14ac:dyDescent="0.25">
      <c r="A26" s="133" t="s">
        <v>42</v>
      </c>
    </row>
    <row r="27" spans="1:1" x14ac:dyDescent="0.25">
      <c r="A27" s="133" t="s">
        <v>43</v>
      </c>
    </row>
    <row r="28" spans="1:1" x14ac:dyDescent="0.25">
      <c r="A28" s="133" t="s">
        <v>40</v>
      </c>
    </row>
    <row r="29" spans="1:1" ht="15.75" thickBot="1" x14ac:dyDescent="0.3">
      <c r="A29" s="134" t="s">
        <v>41</v>
      </c>
    </row>
    <row r="30" spans="1:1" x14ac:dyDescent="0.25">
      <c r="A30" s="202" t="s">
        <v>58</v>
      </c>
    </row>
    <row r="31" spans="1:1" x14ac:dyDescent="0.25">
      <c r="A31" s="203" t="s">
        <v>57</v>
      </c>
    </row>
    <row r="32" spans="1:1" x14ac:dyDescent="0.25">
      <c r="A32" s="203" t="s">
        <v>59</v>
      </c>
    </row>
    <row r="33" spans="1:1" x14ac:dyDescent="0.25">
      <c r="A33" s="203" t="s">
        <v>60</v>
      </c>
    </row>
    <row r="34" spans="1:1" ht="15.75" thickBot="1" x14ac:dyDescent="0.3">
      <c r="A34" s="204" t="s">
        <v>61</v>
      </c>
    </row>
    <row r="35" spans="1:1" x14ac:dyDescent="0.25">
      <c r="A35" s="210" t="s">
        <v>85</v>
      </c>
    </row>
    <row r="36" spans="1:1" x14ac:dyDescent="0.25">
      <c r="A36" s="211" t="s">
        <v>86</v>
      </c>
    </row>
    <row r="37" spans="1:1" x14ac:dyDescent="0.25">
      <c r="A37" s="211" t="s">
        <v>87</v>
      </c>
    </row>
    <row r="38" spans="1:1" x14ac:dyDescent="0.25">
      <c r="A38" s="211" t="s">
        <v>88</v>
      </c>
    </row>
    <row r="39" spans="1:1" x14ac:dyDescent="0.25">
      <c r="A39" s="211" t="s">
        <v>89</v>
      </c>
    </row>
    <row r="40" spans="1:1" x14ac:dyDescent="0.25">
      <c r="A40" s="211" t="s">
        <v>90</v>
      </c>
    </row>
    <row r="41" spans="1:1" x14ac:dyDescent="0.25">
      <c r="A41" s="211" t="s">
        <v>91</v>
      </c>
    </row>
    <row r="42" spans="1:1" ht="15.75" thickBot="1" x14ac:dyDescent="0.3">
      <c r="A42" s="212" t="s">
        <v>92</v>
      </c>
    </row>
    <row r="43" spans="1:1" x14ac:dyDescent="0.25">
      <c r="A43" s="266" t="s">
        <v>107</v>
      </c>
    </row>
    <row r="44" spans="1:1" ht="15.75" thickBot="1" x14ac:dyDescent="0.3">
      <c r="A44" s="267" t="s">
        <v>108</v>
      </c>
    </row>
    <row r="45" spans="1:1" x14ac:dyDescent="0.25">
      <c r="A45" s="302" t="s">
        <v>109</v>
      </c>
    </row>
    <row r="46" spans="1:1" x14ac:dyDescent="0.25">
      <c r="A46" s="303" t="s">
        <v>110</v>
      </c>
    </row>
    <row r="47" spans="1:1" x14ac:dyDescent="0.25">
      <c r="A47" s="303" t="s">
        <v>111</v>
      </c>
    </row>
    <row r="48" spans="1:1" x14ac:dyDescent="0.25">
      <c r="A48" s="303" t="s">
        <v>112</v>
      </c>
    </row>
    <row r="49" spans="1:1" x14ac:dyDescent="0.25">
      <c r="A49" s="303" t="s">
        <v>113</v>
      </c>
    </row>
    <row r="50" spans="1:1" x14ac:dyDescent="0.25">
      <c r="A50" s="303" t="s">
        <v>114</v>
      </c>
    </row>
    <row r="51" spans="1:1" x14ac:dyDescent="0.25">
      <c r="A51" s="303" t="s">
        <v>115</v>
      </c>
    </row>
    <row r="52" spans="1:1" x14ac:dyDescent="0.25">
      <c r="A52" s="303" t="s">
        <v>116</v>
      </c>
    </row>
    <row r="53" spans="1:1" ht="15.75" thickBot="1" x14ac:dyDescent="0.3">
      <c r="A53" s="304" t="s">
        <v>117</v>
      </c>
    </row>
    <row r="54" spans="1:1" x14ac:dyDescent="0.25">
      <c r="A54" s="120" t="s">
        <v>143</v>
      </c>
    </row>
    <row r="55" spans="1:1" ht="15.75" thickBot="1" x14ac:dyDescent="0.3">
      <c r="A55" s="122" t="s">
        <v>144</v>
      </c>
    </row>
    <row r="56" spans="1:1" x14ac:dyDescent="0.25">
      <c r="A56" s="120" t="s">
        <v>145</v>
      </c>
    </row>
    <row r="57" spans="1:1" x14ac:dyDescent="0.25">
      <c r="A57" s="121" t="s">
        <v>146</v>
      </c>
    </row>
    <row r="58" spans="1:1" ht="15.75" thickBot="1" x14ac:dyDescent="0.3">
      <c r="A58" s="122" t="s">
        <v>147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AEF0-373C-4A40-99D5-2DA169662B03}">
  <dimension ref="A1:G156"/>
  <sheetViews>
    <sheetView showGridLines="0" zoomScale="84" zoomScaleNormal="84" workbookViewId="0">
      <selection activeCell="K12" sqref="K12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16" customWidth="1"/>
    <col min="8" max="8" width="7.140625" customWidth="1"/>
    <col min="9" max="9" width="10.42578125" customWidth="1"/>
  </cols>
  <sheetData>
    <row r="1" spans="1:7" s="182" customFormat="1" ht="24" customHeight="1" thickBot="1" x14ac:dyDescent="0.35">
      <c r="A1" s="414" t="s">
        <v>136</v>
      </c>
      <c r="B1" s="415"/>
      <c r="C1" s="415"/>
      <c r="D1" s="415"/>
      <c r="E1" s="415"/>
      <c r="F1" s="415"/>
      <c r="G1" s="415"/>
    </row>
    <row r="2" spans="1:7" s="9" customFormat="1" ht="36" customHeight="1" thickBot="1" x14ac:dyDescent="0.3">
      <c r="A2" s="158" t="s">
        <v>0</v>
      </c>
      <c r="B2" s="158" t="s">
        <v>24</v>
      </c>
      <c r="C2" s="188" t="s">
        <v>32</v>
      </c>
      <c r="D2" s="189" t="s">
        <v>33</v>
      </c>
      <c r="E2" s="189" t="s">
        <v>34</v>
      </c>
      <c r="F2" s="190" t="s">
        <v>35</v>
      </c>
      <c r="G2" s="158" t="s">
        <v>148</v>
      </c>
    </row>
    <row r="3" spans="1:7" ht="18.75" hidden="1" thickBot="1" x14ac:dyDescent="0.45">
      <c r="A3" s="68" t="s">
        <v>1</v>
      </c>
      <c r="B3" s="73" t="s">
        <v>138</v>
      </c>
      <c r="C3" s="382">
        <v>343.20352731311635</v>
      </c>
      <c r="D3" s="383">
        <v>325.10000000000002</v>
      </c>
      <c r="E3" s="309" t="s">
        <v>65</v>
      </c>
      <c r="F3" s="310" t="s">
        <v>65</v>
      </c>
      <c r="G3" s="388">
        <f>Tabla137810[[#This Row],[2021]]-Tabla137810[[#This Row],[2020]]</f>
        <v>-18.103527313116331</v>
      </c>
    </row>
    <row r="4" spans="1:7" ht="18.75" hidden="1" thickBot="1" x14ac:dyDescent="0.45">
      <c r="A4" s="69" t="s">
        <v>2</v>
      </c>
      <c r="B4" s="74" t="s">
        <v>138</v>
      </c>
      <c r="C4" s="384">
        <v>346.4631718646317</v>
      </c>
      <c r="D4" s="385">
        <v>320.01543484713562</v>
      </c>
      <c r="E4" s="311" t="s">
        <v>65</v>
      </c>
      <c r="F4" s="312" t="s">
        <v>65</v>
      </c>
      <c r="G4" s="389">
        <f>Tabla137810[[#This Row],[2021]]-Tabla137810[[#This Row],[2020]]</f>
        <v>-26.447737017496081</v>
      </c>
    </row>
    <row r="5" spans="1:7" ht="18.75" hidden="1" thickBot="1" x14ac:dyDescent="0.45">
      <c r="A5" s="69" t="s">
        <v>3</v>
      </c>
      <c r="B5" s="74" t="s">
        <v>138</v>
      </c>
      <c r="C5" s="384">
        <v>363.75441349548851</v>
      </c>
      <c r="D5" s="385">
        <v>393.65</v>
      </c>
      <c r="E5" s="311" t="s">
        <v>65</v>
      </c>
      <c r="F5" s="312" t="s">
        <v>65</v>
      </c>
      <c r="G5" s="390">
        <f>Tabla137810[[#This Row],[2021]]-Tabla137810[[#This Row],[2020]]</f>
        <v>29.895586504511471</v>
      </c>
    </row>
    <row r="6" spans="1:7" ht="18.75" hidden="1" thickBot="1" x14ac:dyDescent="0.45">
      <c r="A6" s="69" t="s">
        <v>4</v>
      </c>
      <c r="B6" s="74" t="s">
        <v>138</v>
      </c>
      <c r="C6" s="384">
        <v>346.10545273879023</v>
      </c>
      <c r="D6" s="385">
        <v>352.38394169524742</v>
      </c>
      <c r="E6" s="311" t="s">
        <v>65</v>
      </c>
      <c r="F6" s="312" t="s">
        <v>65</v>
      </c>
      <c r="G6" s="390">
        <f>Tabla137810[[#This Row],[2021]]-Tabla137810[[#This Row],[2020]]</f>
        <v>6.2784889564571813</v>
      </c>
    </row>
    <row r="7" spans="1:7" ht="18.75" hidden="1" thickBot="1" x14ac:dyDescent="0.45">
      <c r="A7" s="69" t="s">
        <v>5</v>
      </c>
      <c r="B7" s="74" t="s">
        <v>138</v>
      </c>
      <c r="C7" s="384">
        <v>225.46888534305904</v>
      </c>
      <c r="D7" s="385">
        <v>286.07</v>
      </c>
      <c r="E7" s="311" t="s">
        <v>65</v>
      </c>
      <c r="F7" s="312" t="s">
        <v>65</v>
      </c>
      <c r="G7" s="390">
        <f>Tabla137810[[#This Row],[2021]]-Tabla137810[[#This Row],[2020]]</f>
        <v>60.60111465694095</v>
      </c>
    </row>
    <row r="8" spans="1:7" ht="18.75" hidden="1" thickBot="1" x14ac:dyDescent="0.45">
      <c r="A8" s="69" t="s">
        <v>6</v>
      </c>
      <c r="B8" s="74" t="s">
        <v>138</v>
      </c>
      <c r="C8" s="384">
        <v>351.90666666666669</v>
      </c>
      <c r="D8" s="386">
        <v>308.19079584328404</v>
      </c>
      <c r="E8" s="313" t="s">
        <v>65</v>
      </c>
      <c r="F8" s="314" t="s">
        <v>65</v>
      </c>
      <c r="G8" s="389">
        <f>Tabla137810[[#This Row],[2021]]-Tabla137810[[#This Row],[2020]]</f>
        <v>-43.715870823382659</v>
      </c>
    </row>
    <row r="9" spans="1:7" ht="18.75" hidden="1" thickBot="1" x14ac:dyDescent="0.45">
      <c r="A9" s="69" t="s">
        <v>7</v>
      </c>
      <c r="B9" s="74" t="s">
        <v>138</v>
      </c>
      <c r="C9" s="384">
        <v>952.2282878411911</v>
      </c>
      <c r="D9" s="385">
        <v>852.65346534653463</v>
      </c>
      <c r="E9" s="311" t="s">
        <v>65</v>
      </c>
      <c r="F9" s="312" t="s">
        <v>65</v>
      </c>
      <c r="G9" s="389">
        <f>Tabla137810[[#This Row],[2021]]-Tabla137810[[#This Row],[2020]]</f>
        <v>-99.574822494656473</v>
      </c>
    </row>
    <row r="10" spans="1:7" ht="18.75" hidden="1" thickBot="1" x14ac:dyDescent="0.45">
      <c r="A10" s="69" t="s">
        <v>8</v>
      </c>
      <c r="B10" s="74" t="s">
        <v>138</v>
      </c>
      <c r="C10" s="384">
        <v>325.99622483221481</v>
      </c>
      <c r="D10" s="385">
        <v>325.3600195264828</v>
      </c>
      <c r="E10" s="311" t="s">
        <v>65</v>
      </c>
      <c r="F10" s="312" t="s">
        <v>65</v>
      </c>
      <c r="G10" s="389">
        <f>Tabla137810[[#This Row],[2021]]-Tabla137810[[#This Row],[2020]]</f>
        <v>-0.6362053057320054</v>
      </c>
    </row>
    <row r="11" spans="1:7" ht="18.75" hidden="1" thickBot="1" x14ac:dyDescent="0.45">
      <c r="A11" s="69" t="s">
        <v>9</v>
      </c>
      <c r="B11" s="74" t="s">
        <v>138</v>
      </c>
      <c r="C11" s="384" t="s">
        <v>65</v>
      </c>
      <c r="D11" s="385" t="s">
        <v>65</v>
      </c>
      <c r="E11" s="311" t="s">
        <v>65</v>
      </c>
      <c r="F11" s="312" t="s">
        <v>65</v>
      </c>
      <c r="G11" s="387" t="s">
        <v>65</v>
      </c>
    </row>
    <row r="12" spans="1:7" ht="18.75" hidden="1" thickBot="1" x14ac:dyDescent="0.45">
      <c r="A12" s="69" t="s">
        <v>10</v>
      </c>
      <c r="B12" s="74" t="s">
        <v>138</v>
      </c>
      <c r="C12" s="384">
        <v>373.22791293213828</v>
      </c>
      <c r="D12" s="385">
        <v>374.02374077638757</v>
      </c>
      <c r="E12" s="311" t="s">
        <v>65</v>
      </c>
      <c r="F12" s="312" t="s">
        <v>65</v>
      </c>
      <c r="G12" s="390">
        <f>Tabla137810[[#This Row],[2021]]-Tabla137810[[#This Row],[2020]]</f>
        <v>0.79582784424928832</v>
      </c>
    </row>
    <row r="13" spans="1:7" ht="18.75" hidden="1" thickBot="1" x14ac:dyDescent="0.45">
      <c r="A13" s="69" t="s">
        <v>11</v>
      </c>
      <c r="B13" s="74" t="s">
        <v>138</v>
      </c>
      <c r="C13" s="384">
        <v>428.44203639337553</v>
      </c>
      <c r="D13" s="385">
        <v>383.74861516769062</v>
      </c>
      <c r="E13" s="311" t="s">
        <v>65</v>
      </c>
      <c r="F13" s="312" t="s">
        <v>65</v>
      </c>
      <c r="G13" s="389">
        <f>Tabla137810[[#This Row],[2021]]-Tabla137810[[#This Row],[2020]]</f>
        <v>-44.693421225684915</v>
      </c>
    </row>
    <row r="14" spans="1:7" ht="18.75" hidden="1" thickBot="1" x14ac:dyDescent="0.45">
      <c r="A14" s="69" t="s">
        <v>12</v>
      </c>
      <c r="B14" s="74" t="s">
        <v>138</v>
      </c>
      <c r="C14" s="384">
        <v>260.42148014440437</v>
      </c>
      <c r="D14" s="385">
        <v>254.3534619032564</v>
      </c>
      <c r="E14" s="311" t="s">
        <v>65</v>
      </c>
      <c r="F14" s="312" t="s">
        <v>65</v>
      </c>
      <c r="G14" s="389">
        <f>Tabla137810[[#This Row],[2021]]-Tabla137810[[#This Row],[2020]]</f>
        <v>-6.0680182411479677</v>
      </c>
    </row>
    <row r="15" spans="1:7" ht="18.75" hidden="1" thickBot="1" x14ac:dyDescent="0.45">
      <c r="A15" s="69" t="s">
        <v>13</v>
      </c>
      <c r="B15" s="74" t="s">
        <v>138</v>
      </c>
      <c r="C15" s="384">
        <v>302.51602926755675</v>
      </c>
      <c r="D15" s="385">
        <v>313.20510407648584</v>
      </c>
      <c r="E15" s="311" t="s">
        <v>65</v>
      </c>
      <c r="F15" s="312" t="s">
        <v>65</v>
      </c>
      <c r="G15" s="390">
        <f>Tabla137810[[#This Row],[2021]]-Tabla137810[[#This Row],[2020]]</f>
        <v>10.689074808929092</v>
      </c>
    </row>
    <row r="16" spans="1:7" ht="18.75" hidden="1" thickBot="1" x14ac:dyDescent="0.45">
      <c r="A16" s="69" t="s">
        <v>14</v>
      </c>
      <c r="B16" s="74" t="s">
        <v>138</v>
      </c>
      <c r="C16" s="384">
        <v>377.86748233672233</v>
      </c>
      <c r="D16" s="385">
        <v>413.44534933561937</v>
      </c>
      <c r="E16" s="311" t="s">
        <v>65</v>
      </c>
      <c r="F16" s="312" t="s">
        <v>65</v>
      </c>
      <c r="G16" s="390">
        <f>Tabla137810[[#This Row],[2021]]-Tabla137810[[#This Row],[2020]]</f>
        <v>35.577866998897036</v>
      </c>
    </row>
    <row r="17" spans="1:7" ht="18.75" hidden="1" thickBot="1" x14ac:dyDescent="0.45">
      <c r="A17" s="69" t="s">
        <v>15</v>
      </c>
      <c r="B17" s="74" t="s">
        <v>138</v>
      </c>
      <c r="C17" s="384">
        <v>371.60513568170057</v>
      </c>
      <c r="D17" s="385">
        <v>384.7874638114057</v>
      </c>
      <c r="E17" s="311" t="s">
        <v>65</v>
      </c>
      <c r="F17" s="312" t="s">
        <v>65</v>
      </c>
      <c r="G17" s="390">
        <f>Tabla137810[[#This Row],[2021]]-Tabla137810[[#This Row],[2020]]</f>
        <v>13.182328129705127</v>
      </c>
    </row>
    <row r="18" spans="1:7" ht="18.75" hidden="1" thickBot="1" x14ac:dyDescent="0.45">
      <c r="A18" s="69" t="s">
        <v>16</v>
      </c>
      <c r="B18" s="74" t="s">
        <v>138</v>
      </c>
      <c r="C18" s="384">
        <v>287.61750857872482</v>
      </c>
      <c r="D18" s="385">
        <v>291.09707156196606</v>
      </c>
      <c r="E18" s="311" t="s">
        <v>65</v>
      </c>
      <c r="F18" s="312" t="s">
        <v>65</v>
      </c>
      <c r="G18" s="390">
        <f>Tabla137810[[#This Row],[2021]]-Tabla137810[[#This Row],[2020]]</f>
        <v>3.4795629832412374</v>
      </c>
    </row>
    <row r="19" spans="1:7" ht="18.75" hidden="1" thickBot="1" x14ac:dyDescent="0.45">
      <c r="A19" s="69" t="s">
        <v>17</v>
      </c>
      <c r="B19" s="74" t="s">
        <v>138</v>
      </c>
      <c r="C19" s="384">
        <v>371.23279761331918</v>
      </c>
      <c r="D19" s="385">
        <v>356.73011885206301</v>
      </c>
      <c r="E19" s="311" t="s">
        <v>65</v>
      </c>
      <c r="F19" s="312" t="s">
        <v>65</v>
      </c>
      <c r="G19" s="389">
        <f>Tabla137810[[#This Row],[2021]]-Tabla137810[[#This Row],[2020]]</f>
        <v>-14.502678761256163</v>
      </c>
    </row>
    <row r="20" spans="1:7" ht="18.75" hidden="1" thickBot="1" x14ac:dyDescent="0.45">
      <c r="A20" s="69" t="s">
        <v>18</v>
      </c>
      <c r="B20" s="74" t="s">
        <v>138</v>
      </c>
      <c r="C20" s="384">
        <v>349.82807422161653</v>
      </c>
      <c r="D20" s="385">
        <v>333.39517048398795</v>
      </c>
      <c r="E20" s="311" t="s">
        <v>65</v>
      </c>
      <c r="F20" s="312" t="s">
        <v>65</v>
      </c>
      <c r="G20" s="389">
        <f>Tabla137810[[#This Row],[2021]]-Tabla137810[[#This Row],[2020]]</f>
        <v>-16.432903737628578</v>
      </c>
    </row>
    <row r="21" spans="1:7" ht="18.75" hidden="1" thickBot="1" x14ac:dyDescent="0.45">
      <c r="A21" s="69" t="s">
        <v>19</v>
      </c>
      <c r="B21" s="74" t="s">
        <v>138</v>
      </c>
      <c r="C21" s="384">
        <v>400.21700292989692</v>
      </c>
      <c r="D21" s="385">
        <v>430.05849052171664</v>
      </c>
      <c r="E21" s="311" t="s">
        <v>65</v>
      </c>
      <c r="F21" s="312" t="s">
        <v>65</v>
      </c>
      <c r="G21" s="390">
        <f>Tabla137810[[#This Row],[2021]]-Tabla137810[[#This Row],[2020]]</f>
        <v>29.841487591819714</v>
      </c>
    </row>
    <row r="22" spans="1:7" ht="18.75" hidden="1" thickBot="1" x14ac:dyDescent="0.45">
      <c r="A22" s="70" t="s">
        <v>20</v>
      </c>
      <c r="B22" s="74" t="s">
        <v>138</v>
      </c>
      <c r="C22" s="384">
        <v>316.71821704142798</v>
      </c>
      <c r="D22" s="385">
        <v>317.15359757303963</v>
      </c>
      <c r="E22" s="311" t="s">
        <v>65</v>
      </c>
      <c r="F22" s="312" t="s">
        <v>65</v>
      </c>
      <c r="G22" s="391">
        <f>Tabla137810[[#This Row],[2021]]-Tabla137810[[#This Row],[2020]]</f>
        <v>0.43538053161165635</v>
      </c>
    </row>
    <row r="23" spans="1:7" ht="18.75" hidden="1" thickBot="1" x14ac:dyDescent="0.45">
      <c r="A23" s="34" t="s">
        <v>143</v>
      </c>
      <c r="B23" s="111" t="s">
        <v>138</v>
      </c>
      <c r="C23" s="272">
        <f>SUM(C3:C22)</f>
        <v>7094.820307236042</v>
      </c>
      <c r="D23" s="273">
        <f t="shared" ref="D23" si="0">SUM(D3:D22)</f>
        <v>7015.4218413223025</v>
      </c>
      <c r="E23" s="335">
        <f t="shared" ref="E23" si="1">SUM(E3:E22)</f>
        <v>0</v>
      </c>
      <c r="F23" s="336">
        <v>0</v>
      </c>
      <c r="G23" s="194"/>
    </row>
    <row r="24" spans="1:7" ht="18.75" hidden="1" thickBot="1" x14ac:dyDescent="0.45">
      <c r="A24" s="34" t="s">
        <v>40</v>
      </c>
      <c r="B24" s="111" t="s">
        <v>138</v>
      </c>
      <c r="C24" s="274">
        <f>AVERAGE(C3:C22)</f>
        <v>373.41159511768643</v>
      </c>
      <c r="D24" s="275">
        <f>AVERAGE(D3:D22)</f>
        <v>369.2327284906475</v>
      </c>
      <c r="E24" s="332">
        <v>0</v>
      </c>
      <c r="F24" s="333">
        <v>0</v>
      </c>
      <c r="G24" s="194"/>
    </row>
    <row r="25" spans="1:7" ht="18.75" hidden="1" thickBot="1" x14ac:dyDescent="0.45">
      <c r="A25" s="35" t="s">
        <v>41</v>
      </c>
      <c r="B25" s="146" t="s">
        <v>138</v>
      </c>
      <c r="C25" s="272">
        <f>MEDIAN(C3:C22)</f>
        <v>349.82807422161653</v>
      </c>
      <c r="D25" s="273">
        <f t="shared" ref="D25" si="2">MEDIAN(D3:D22)</f>
        <v>333.39517048398795</v>
      </c>
      <c r="E25" s="335">
        <v>0</v>
      </c>
      <c r="F25" s="336">
        <v>0</v>
      </c>
      <c r="G25" s="194"/>
    </row>
    <row r="26" spans="1:7" ht="18" x14ac:dyDescent="0.4">
      <c r="A26" s="25" t="s">
        <v>1</v>
      </c>
      <c r="B26" s="99" t="s">
        <v>139</v>
      </c>
      <c r="C26" s="392">
        <v>53749.144999999997</v>
      </c>
      <c r="D26" s="393" t="s">
        <v>65</v>
      </c>
      <c r="E26" s="289" t="s">
        <v>65</v>
      </c>
      <c r="F26" s="379" t="s">
        <v>65</v>
      </c>
      <c r="G26" s="194"/>
    </row>
    <row r="27" spans="1:7" ht="18" x14ac:dyDescent="0.4">
      <c r="A27" s="14" t="s">
        <v>2</v>
      </c>
      <c r="B27" s="99" t="s">
        <v>139</v>
      </c>
      <c r="C27" s="337">
        <v>50149.544700000006</v>
      </c>
      <c r="D27" s="338" t="s">
        <v>65</v>
      </c>
      <c r="E27" s="285" t="s">
        <v>65</v>
      </c>
      <c r="F27" s="292" t="s">
        <v>65</v>
      </c>
      <c r="G27" s="194"/>
    </row>
    <row r="28" spans="1:7" ht="18" x14ac:dyDescent="0.4">
      <c r="A28" s="14" t="s">
        <v>3</v>
      </c>
      <c r="B28" s="99" t="s">
        <v>139</v>
      </c>
      <c r="C28" s="337">
        <v>24727.547499999997</v>
      </c>
      <c r="D28" s="338" t="s">
        <v>65</v>
      </c>
      <c r="E28" s="285" t="s">
        <v>65</v>
      </c>
      <c r="F28" s="292" t="s">
        <v>65</v>
      </c>
      <c r="G28" s="194"/>
    </row>
    <row r="29" spans="1:7" ht="18" x14ac:dyDescent="0.4">
      <c r="A29" s="14" t="s">
        <v>4</v>
      </c>
      <c r="B29" s="99" t="s">
        <v>139</v>
      </c>
      <c r="C29" s="337">
        <v>54378.026700000002</v>
      </c>
      <c r="D29" s="338">
        <v>54378</v>
      </c>
      <c r="E29" s="285" t="s">
        <v>65</v>
      </c>
      <c r="F29" s="292" t="s">
        <v>65</v>
      </c>
      <c r="G29" s="36"/>
    </row>
    <row r="30" spans="1:7" ht="18" x14ac:dyDescent="0.4">
      <c r="A30" s="14" t="s">
        <v>5</v>
      </c>
      <c r="B30" s="99" t="s">
        <v>139</v>
      </c>
      <c r="C30" s="337">
        <v>19468.315900000001</v>
      </c>
      <c r="D30" s="338" t="s">
        <v>65</v>
      </c>
      <c r="E30" s="285" t="s">
        <v>65</v>
      </c>
      <c r="F30" s="292" t="s">
        <v>65</v>
      </c>
      <c r="G30" s="36"/>
    </row>
    <row r="31" spans="1:7" ht="18" x14ac:dyDescent="0.4">
      <c r="A31" s="14" t="s">
        <v>6</v>
      </c>
      <c r="B31" s="99" t="s">
        <v>139</v>
      </c>
      <c r="C31" s="339">
        <v>32754.892900000003</v>
      </c>
      <c r="D31" s="340" t="s">
        <v>65</v>
      </c>
      <c r="E31" s="286" t="s">
        <v>65</v>
      </c>
      <c r="F31" s="318" t="s">
        <v>65</v>
      </c>
      <c r="G31" s="36"/>
    </row>
    <row r="32" spans="1:7" ht="18" x14ac:dyDescent="0.4">
      <c r="A32" s="14" t="s">
        <v>7</v>
      </c>
      <c r="B32" s="99" t="s">
        <v>139</v>
      </c>
      <c r="C32" s="337">
        <v>45435.8894</v>
      </c>
      <c r="D32" s="338" t="s">
        <v>65</v>
      </c>
      <c r="E32" s="285" t="s">
        <v>65</v>
      </c>
      <c r="F32" s="292" t="s">
        <v>65</v>
      </c>
      <c r="G32" s="36"/>
    </row>
    <row r="33" spans="1:7" ht="18" x14ac:dyDescent="0.4">
      <c r="A33" s="14" t="s">
        <v>8</v>
      </c>
      <c r="B33" s="99" t="s">
        <v>139</v>
      </c>
      <c r="C33" s="337">
        <v>31024.096600000001</v>
      </c>
      <c r="D33" s="338" t="s">
        <v>65</v>
      </c>
      <c r="E33" s="285" t="s">
        <v>65</v>
      </c>
      <c r="F33" s="292" t="s">
        <v>65</v>
      </c>
      <c r="G33" s="36"/>
    </row>
    <row r="34" spans="1:7" ht="18" x14ac:dyDescent="0.4">
      <c r="A34" s="14" t="s">
        <v>9</v>
      </c>
      <c r="B34" s="99" t="s">
        <v>139</v>
      </c>
      <c r="C34" s="337">
        <v>187.0804</v>
      </c>
      <c r="D34" s="338" t="s">
        <v>65</v>
      </c>
      <c r="E34" s="285" t="s">
        <v>65</v>
      </c>
      <c r="F34" s="292" t="s">
        <v>65</v>
      </c>
      <c r="G34" s="36"/>
    </row>
    <row r="35" spans="1:7" ht="18" x14ac:dyDescent="0.4">
      <c r="A35" s="14" t="s">
        <v>10</v>
      </c>
      <c r="B35" s="99" t="s">
        <v>139</v>
      </c>
      <c r="C35" s="337">
        <v>256237.755</v>
      </c>
      <c r="D35" s="338" t="s">
        <v>65</v>
      </c>
      <c r="E35" s="285" t="s">
        <v>65</v>
      </c>
      <c r="F35" s="292" t="s">
        <v>65</v>
      </c>
      <c r="G35" s="36"/>
    </row>
    <row r="36" spans="1:7" ht="18" x14ac:dyDescent="0.4">
      <c r="A36" s="14" t="s">
        <v>11</v>
      </c>
      <c r="B36" s="99" t="s">
        <v>139</v>
      </c>
      <c r="C36" s="337">
        <v>17010.5285</v>
      </c>
      <c r="D36" s="338" t="s">
        <v>65</v>
      </c>
      <c r="E36" s="285" t="s">
        <v>65</v>
      </c>
      <c r="F36" s="292" t="s">
        <v>65</v>
      </c>
      <c r="G36" s="36"/>
    </row>
    <row r="37" spans="1:7" ht="18" x14ac:dyDescent="0.4">
      <c r="A37" s="14" t="s">
        <v>12</v>
      </c>
      <c r="B37" s="99" t="s">
        <v>139</v>
      </c>
      <c r="C37" s="337">
        <v>45090.177200000006</v>
      </c>
      <c r="D37" s="338" t="s">
        <v>65</v>
      </c>
      <c r="E37" s="285" t="s">
        <v>65</v>
      </c>
      <c r="F37" s="292" t="s">
        <v>65</v>
      </c>
      <c r="G37" s="36"/>
    </row>
    <row r="38" spans="1:7" ht="18" x14ac:dyDescent="0.4">
      <c r="A38" s="14" t="s">
        <v>13</v>
      </c>
      <c r="B38" s="99" t="s">
        <v>139</v>
      </c>
      <c r="C38" s="337">
        <v>31152.961599999999</v>
      </c>
      <c r="D38" s="338" t="s">
        <v>65</v>
      </c>
      <c r="E38" s="285" t="s">
        <v>65</v>
      </c>
      <c r="F38" s="292" t="s">
        <v>65</v>
      </c>
      <c r="G38" s="36"/>
    </row>
    <row r="39" spans="1:7" ht="18" x14ac:dyDescent="0.4">
      <c r="A39" s="14" t="s">
        <v>14</v>
      </c>
      <c r="B39" s="99" t="s">
        <v>139</v>
      </c>
      <c r="C39" s="337">
        <v>9640.2580999999991</v>
      </c>
      <c r="D39" s="338" t="s">
        <v>65</v>
      </c>
      <c r="E39" s="285" t="s">
        <v>65</v>
      </c>
      <c r="F39" s="292" t="s">
        <v>65</v>
      </c>
      <c r="G39" s="36"/>
    </row>
    <row r="40" spans="1:7" ht="18" x14ac:dyDescent="0.4">
      <c r="A40" s="14" t="s">
        <v>15</v>
      </c>
      <c r="B40" s="99" t="s">
        <v>139</v>
      </c>
      <c r="C40" s="337">
        <v>34618.252499999995</v>
      </c>
      <c r="D40" s="338" t="s">
        <v>65</v>
      </c>
      <c r="E40" s="285" t="s">
        <v>65</v>
      </c>
      <c r="F40" s="292" t="s">
        <v>65</v>
      </c>
      <c r="G40" s="36"/>
    </row>
    <row r="41" spans="1:7" ht="18" x14ac:dyDescent="0.4">
      <c r="A41" s="14" t="s">
        <v>16</v>
      </c>
      <c r="B41" s="99" t="s">
        <v>139</v>
      </c>
      <c r="C41" s="337">
        <v>139390.8173</v>
      </c>
      <c r="D41" s="338" t="s">
        <v>65</v>
      </c>
      <c r="E41" s="285" t="s">
        <v>65</v>
      </c>
      <c r="F41" s="292" t="s">
        <v>65</v>
      </c>
      <c r="G41" s="36"/>
    </row>
    <row r="42" spans="1:7" ht="18" x14ac:dyDescent="0.4">
      <c r="A42" s="14" t="s">
        <v>17</v>
      </c>
      <c r="B42" s="99" t="s">
        <v>139</v>
      </c>
      <c r="C42" s="337">
        <v>20387.4378</v>
      </c>
      <c r="D42" s="338" t="s">
        <v>65</v>
      </c>
      <c r="E42" s="285" t="s">
        <v>65</v>
      </c>
      <c r="F42" s="292" t="s">
        <v>65</v>
      </c>
      <c r="G42" s="36"/>
    </row>
    <row r="43" spans="1:7" ht="18" x14ac:dyDescent="0.4">
      <c r="A43" s="14" t="s">
        <v>18</v>
      </c>
      <c r="B43" s="99" t="s">
        <v>139</v>
      </c>
      <c r="C43" s="337">
        <v>43840.924199999994</v>
      </c>
      <c r="D43" s="338" t="s">
        <v>65</v>
      </c>
      <c r="E43" s="285" t="s">
        <v>65</v>
      </c>
      <c r="F43" s="292" t="s">
        <v>65</v>
      </c>
      <c r="G43" s="36"/>
    </row>
    <row r="44" spans="1:7" ht="18" x14ac:dyDescent="0.4">
      <c r="A44" s="14" t="s">
        <v>19</v>
      </c>
      <c r="B44" s="99" t="s">
        <v>139</v>
      </c>
      <c r="C44" s="337">
        <v>70097.720399999991</v>
      </c>
      <c r="D44" s="338" t="s">
        <v>65</v>
      </c>
      <c r="E44" s="285" t="s">
        <v>65</v>
      </c>
      <c r="F44" s="292" t="s">
        <v>65</v>
      </c>
      <c r="G44" s="36"/>
    </row>
    <row r="45" spans="1:7" ht="18.75" thickBot="1" x14ac:dyDescent="0.45">
      <c r="A45" s="27" t="s">
        <v>20</v>
      </c>
      <c r="B45" s="99" t="s">
        <v>139</v>
      </c>
      <c r="C45" s="341">
        <v>46331.2264</v>
      </c>
      <c r="D45" s="342" t="s">
        <v>65</v>
      </c>
      <c r="E45" s="320" t="s">
        <v>65</v>
      </c>
      <c r="F45" s="321" t="s">
        <v>65</v>
      </c>
      <c r="G45" s="36"/>
    </row>
    <row r="46" spans="1:7" ht="18.75" thickBot="1" x14ac:dyDescent="0.45">
      <c r="A46" s="34" t="s">
        <v>144</v>
      </c>
      <c r="B46" s="111" t="s">
        <v>139</v>
      </c>
      <c r="C46" s="328">
        <f>SUM(C26:C45)</f>
        <v>1025672.5981000001</v>
      </c>
      <c r="D46" s="329">
        <f>SUM(D26:D45)</f>
        <v>54378</v>
      </c>
      <c r="E46" s="329">
        <f t="shared" ref="E46:F46" si="3">SUM(E26:E45)</f>
        <v>0</v>
      </c>
      <c r="F46" s="330">
        <f t="shared" si="3"/>
        <v>0</v>
      </c>
      <c r="G46" s="194"/>
    </row>
    <row r="47" spans="1:7" ht="18.75" thickBot="1" x14ac:dyDescent="0.45">
      <c r="A47" s="34" t="s">
        <v>40</v>
      </c>
      <c r="B47" s="111" t="s">
        <v>139</v>
      </c>
      <c r="C47" s="331">
        <f>AVERAGE(C26:C45)</f>
        <v>51283.629905000002</v>
      </c>
      <c r="D47" s="332">
        <f>AVERAGE(D26:D45)</f>
        <v>54378</v>
      </c>
      <c r="E47" s="332">
        <v>0</v>
      </c>
      <c r="F47" s="333">
        <v>0</v>
      </c>
      <c r="G47" s="194"/>
    </row>
    <row r="48" spans="1:7" ht="18.75" thickBot="1" x14ac:dyDescent="0.45">
      <c r="A48" s="35" t="s">
        <v>41</v>
      </c>
      <c r="B48" s="146" t="s">
        <v>139</v>
      </c>
      <c r="C48" s="334">
        <f>MEDIAN(C26:C45)</f>
        <v>39229.588349999991</v>
      </c>
      <c r="D48" s="335">
        <f t="shared" ref="D48" si="4">MEDIAN(D26:D45)</f>
        <v>54378</v>
      </c>
      <c r="E48" s="335">
        <v>0</v>
      </c>
      <c r="F48" s="336">
        <v>0</v>
      </c>
      <c r="G48" s="194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s="58" customFormat="1" ht="12.75" x14ac:dyDescent="0.2"/>
    <row r="154" s="58" customFormat="1" ht="12.75" x14ac:dyDescent="0.2"/>
    <row r="155" s="58" customFormat="1" ht="12.75" x14ac:dyDescent="0.2"/>
    <row r="156" s="58" customFormat="1" ht="12.75" x14ac:dyDescent="0.2"/>
  </sheetData>
  <mergeCells count="1">
    <mergeCell ref="A1:G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70CDF45-05F1-4AA3-BBF1-15C53F1A0302}">
          <x14:formula1>
            <xm:f>MESTRE!$J$2:$J$30</xm:f>
          </x14:formula1>
          <xm:sqref>B3:B48</xm:sqref>
        </x14:dataValidation>
        <x14:dataValidation type="list" allowBlank="1" showInputMessage="1" showErrorMessage="1" xr:uid="{00777F98-B0E6-467C-905A-A4E41AAA58ED}">
          <x14:formula1>
            <xm:f>MESTRE!$A$2:$A$2096</xm:f>
          </x14:formula1>
          <xm:sqref>A46:A48 A23:A25</xm:sqref>
        </x14:dataValidation>
        <x14:dataValidation type="list" allowBlank="1" showInputMessage="1" showErrorMessage="1" xr:uid="{E180F47F-75D4-45B3-9E98-AEEF6776B214}">
          <x14:formula1>
            <xm:f>MESTRE!$A$2:$A$21</xm:f>
          </x14:formula1>
          <xm:sqref>A3:A22 A26:A45 A49:A153</xm:sqref>
        </x14:dataValidation>
        <x14:dataValidation type="list" allowBlank="1" showInputMessage="1" showErrorMessage="1" xr:uid="{E4AF1D15-F658-4F08-B035-9CAD4C3027ED}">
          <x14:formula1>
            <xm:f>MESTRE!$C$2:$C$8</xm:f>
          </x14:formula1>
          <xm:sqref>B49:B414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BA59-E920-447A-95FA-7663F2C72AEB}">
  <dimension ref="A1:F145"/>
  <sheetViews>
    <sheetView showGridLines="0" tabSelected="1" zoomScale="80" zoomScaleNormal="80" workbookViewId="0">
      <selection activeCell="E2" sqref="E2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7.140625" customWidth="1"/>
    <col min="8" max="8" width="10.42578125" customWidth="1"/>
  </cols>
  <sheetData>
    <row r="1" spans="1:6" s="182" customFormat="1" ht="24" customHeight="1" thickBot="1" x14ac:dyDescent="0.35">
      <c r="A1" s="414" t="s">
        <v>137</v>
      </c>
      <c r="B1" s="415"/>
      <c r="C1" s="415"/>
      <c r="D1" s="415"/>
      <c r="E1" s="415"/>
      <c r="F1" s="415"/>
    </row>
    <row r="2" spans="1:6" s="9" customFormat="1" ht="36" customHeight="1" thickBot="1" x14ac:dyDescent="0.3">
      <c r="A2" s="158" t="s">
        <v>0</v>
      </c>
      <c r="B2" s="158" t="s">
        <v>24</v>
      </c>
      <c r="C2" s="188" t="s">
        <v>149</v>
      </c>
      <c r="D2" s="189" t="s">
        <v>33</v>
      </c>
      <c r="E2" s="189" t="s">
        <v>34</v>
      </c>
      <c r="F2" s="190" t="s">
        <v>35</v>
      </c>
    </row>
    <row r="3" spans="1:6" ht="18.75" hidden="1" thickBot="1" x14ac:dyDescent="0.45">
      <c r="A3" s="68" t="s">
        <v>1</v>
      </c>
      <c r="B3" s="73" t="s">
        <v>140</v>
      </c>
      <c r="C3" s="382" t="s">
        <v>65</v>
      </c>
      <c r="D3" s="394">
        <v>13175</v>
      </c>
      <c r="E3" s="309" t="s">
        <v>65</v>
      </c>
      <c r="F3" s="310" t="s">
        <v>65</v>
      </c>
    </row>
    <row r="4" spans="1:6" ht="18.75" hidden="1" thickBot="1" x14ac:dyDescent="0.45">
      <c r="A4" s="69" t="s">
        <v>2</v>
      </c>
      <c r="B4" s="74" t="s">
        <v>140</v>
      </c>
      <c r="C4" s="384" t="s">
        <v>65</v>
      </c>
      <c r="D4" s="395">
        <v>7194</v>
      </c>
      <c r="E4" s="311" t="s">
        <v>65</v>
      </c>
      <c r="F4" s="312" t="s">
        <v>65</v>
      </c>
    </row>
    <row r="5" spans="1:6" ht="18.75" hidden="1" thickBot="1" x14ac:dyDescent="0.45">
      <c r="A5" s="69" t="s">
        <v>3</v>
      </c>
      <c r="B5" s="74" t="s">
        <v>140</v>
      </c>
      <c r="C5" s="384" t="s">
        <v>65</v>
      </c>
      <c r="D5" s="395">
        <v>4887</v>
      </c>
      <c r="E5" s="311" t="s">
        <v>65</v>
      </c>
      <c r="F5" s="312" t="s">
        <v>65</v>
      </c>
    </row>
    <row r="6" spans="1:6" ht="18.75" hidden="1" thickBot="1" x14ac:dyDescent="0.45">
      <c r="A6" s="69" t="s">
        <v>4</v>
      </c>
      <c r="B6" s="74" t="s">
        <v>140</v>
      </c>
      <c r="C6" s="384" t="s">
        <v>65</v>
      </c>
      <c r="D6" s="395">
        <v>14434</v>
      </c>
      <c r="E6" s="311" t="s">
        <v>65</v>
      </c>
      <c r="F6" s="312" t="s">
        <v>65</v>
      </c>
    </row>
    <row r="7" spans="1:6" ht="18.75" hidden="1" thickBot="1" x14ac:dyDescent="0.45">
      <c r="A7" s="69" t="s">
        <v>5</v>
      </c>
      <c r="B7" s="74" t="s">
        <v>140</v>
      </c>
      <c r="C7" s="384" t="s">
        <v>65</v>
      </c>
      <c r="D7" s="395">
        <v>9644</v>
      </c>
      <c r="E7" s="311" t="s">
        <v>65</v>
      </c>
      <c r="F7" s="312" t="s">
        <v>65</v>
      </c>
    </row>
    <row r="8" spans="1:6" ht="18.75" hidden="1" thickBot="1" x14ac:dyDescent="0.45">
      <c r="A8" s="69" t="s">
        <v>6</v>
      </c>
      <c r="B8" s="74" t="s">
        <v>140</v>
      </c>
      <c r="C8" s="384" t="s">
        <v>65</v>
      </c>
      <c r="D8" s="396">
        <v>7112</v>
      </c>
      <c r="E8" s="313" t="s">
        <v>65</v>
      </c>
      <c r="F8" s="314" t="s">
        <v>65</v>
      </c>
    </row>
    <row r="9" spans="1:6" ht="18.75" hidden="1" thickBot="1" x14ac:dyDescent="0.45">
      <c r="A9" s="69" t="s">
        <v>7</v>
      </c>
      <c r="B9" s="74" t="s">
        <v>140</v>
      </c>
      <c r="C9" s="384" t="s">
        <v>65</v>
      </c>
      <c r="D9" s="395">
        <v>1001</v>
      </c>
      <c r="E9" s="311" t="s">
        <v>65</v>
      </c>
      <c r="F9" s="312" t="s">
        <v>65</v>
      </c>
    </row>
    <row r="10" spans="1:6" ht="18.75" hidden="1" thickBot="1" x14ac:dyDescent="0.45">
      <c r="A10" s="69" t="s">
        <v>8</v>
      </c>
      <c r="B10" s="74" t="s">
        <v>140</v>
      </c>
      <c r="C10" s="384" t="s">
        <v>65</v>
      </c>
      <c r="D10" s="395">
        <v>12401</v>
      </c>
      <c r="E10" s="311" t="s">
        <v>65</v>
      </c>
      <c r="F10" s="312" t="s">
        <v>65</v>
      </c>
    </row>
    <row r="11" spans="1:6" ht="18.75" hidden="1" thickBot="1" x14ac:dyDescent="0.45">
      <c r="A11" s="69" t="s">
        <v>9</v>
      </c>
      <c r="B11" s="74" t="s">
        <v>140</v>
      </c>
      <c r="C11" s="384" t="s">
        <v>65</v>
      </c>
      <c r="D11" s="395">
        <v>67</v>
      </c>
      <c r="E11" s="311" t="s">
        <v>65</v>
      </c>
      <c r="F11" s="312" t="s">
        <v>65</v>
      </c>
    </row>
    <row r="12" spans="1:6" ht="18.75" hidden="1" thickBot="1" x14ac:dyDescent="0.45">
      <c r="A12" s="69" t="s">
        <v>10</v>
      </c>
      <c r="B12" s="74" t="s">
        <v>140</v>
      </c>
      <c r="C12" s="384" t="s">
        <v>65</v>
      </c>
      <c r="D12" s="395">
        <v>14239</v>
      </c>
      <c r="E12" s="311" t="s">
        <v>65</v>
      </c>
      <c r="F12" s="312" t="s">
        <v>65</v>
      </c>
    </row>
    <row r="13" spans="1:6" ht="18.75" hidden="1" thickBot="1" x14ac:dyDescent="0.45">
      <c r="A13" s="69" t="s">
        <v>11</v>
      </c>
      <c r="B13" s="74" t="s">
        <v>140</v>
      </c>
      <c r="C13" s="384" t="s">
        <v>65</v>
      </c>
      <c r="D13" s="395">
        <v>4504</v>
      </c>
      <c r="E13" s="311" t="s">
        <v>65</v>
      </c>
      <c r="F13" s="312" t="s">
        <v>65</v>
      </c>
    </row>
    <row r="14" spans="1:6" ht="18.75" hidden="1" thickBot="1" x14ac:dyDescent="0.45">
      <c r="A14" s="69" t="s">
        <v>12</v>
      </c>
      <c r="B14" s="74" t="s">
        <v>140</v>
      </c>
      <c r="C14" s="384" t="s">
        <v>65</v>
      </c>
      <c r="D14" s="395">
        <v>20270</v>
      </c>
      <c r="E14" s="311" t="s">
        <v>65</v>
      </c>
      <c r="F14" s="312" t="s">
        <v>65</v>
      </c>
    </row>
    <row r="15" spans="1:6" ht="18.75" hidden="1" thickBot="1" x14ac:dyDescent="0.45">
      <c r="A15" s="69" t="s">
        <v>13</v>
      </c>
      <c r="B15" s="74" t="s">
        <v>140</v>
      </c>
      <c r="C15" s="384" t="s">
        <v>65</v>
      </c>
      <c r="D15" s="395">
        <v>11653</v>
      </c>
      <c r="E15" s="311" t="s">
        <v>65</v>
      </c>
      <c r="F15" s="312" t="s">
        <v>65</v>
      </c>
    </row>
    <row r="16" spans="1:6" ht="18.75" hidden="1" thickBot="1" x14ac:dyDescent="0.45">
      <c r="A16" s="69" t="s">
        <v>14</v>
      </c>
      <c r="B16" s="74" t="s">
        <v>140</v>
      </c>
      <c r="C16" s="384" t="s">
        <v>65</v>
      </c>
      <c r="D16" s="395">
        <v>4836</v>
      </c>
      <c r="E16" s="311" t="s">
        <v>65</v>
      </c>
      <c r="F16" s="312" t="s">
        <v>65</v>
      </c>
    </row>
    <row r="17" spans="1:6" ht="18.75" hidden="1" thickBot="1" x14ac:dyDescent="0.45">
      <c r="A17" s="69" t="s">
        <v>15</v>
      </c>
      <c r="B17" s="74" t="s">
        <v>140</v>
      </c>
      <c r="C17" s="384" t="s">
        <v>65</v>
      </c>
      <c r="D17" s="395">
        <v>11556</v>
      </c>
      <c r="E17" s="311" t="s">
        <v>65</v>
      </c>
      <c r="F17" s="312" t="s">
        <v>65</v>
      </c>
    </row>
    <row r="18" spans="1:6" ht="18.75" hidden="1" thickBot="1" x14ac:dyDescent="0.45">
      <c r="A18" s="69" t="s">
        <v>16</v>
      </c>
      <c r="B18" s="74" t="s">
        <v>140</v>
      </c>
      <c r="C18" s="384" t="s">
        <v>65</v>
      </c>
      <c r="D18" s="395">
        <v>12037</v>
      </c>
      <c r="E18" s="311" t="s">
        <v>65</v>
      </c>
      <c r="F18" s="312" t="s">
        <v>65</v>
      </c>
    </row>
    <row r="19" spans="1:6" ht="18.75" hidden="1" thickBot="1" x14ac:dyDescent="0.45">
      <c r="A19" s="69" t="s">
        <v>17</v>
      </c>
      <c r="B19" s="74" t="s">
        <v>140</v>
      </c>
      <c r="C19" s="384" t="s">
        <v>65</v>
      </c>
      <c r="D19" s="395">
        <v>4640</v>
      </c>
      <c r="E19" s="311" t="s">
        <v>65</v>
      </c>
      <c r="F19" s="312" t="s">
        <v>65</v>
      </c>
    </row>
    <row r="20" spans="1:6" ht="18.75" hidden="1" thickBot="1" x14ac:dyDescent="0.45">
      <c r="A20" s="69" t="s">
        <v>18</v>
      </c>
      <c r="B20" s="74" t="s">
        <v>140</v>
      </c>
      <c r="C20" s="384" t="s">
        <v>65</v>
      </c>
      <c r="D20" s="395">
        <v>8876</v>
      </c>
      <c r="E20" s="311" t="s">
        <v>65</v>
      </c>
      <c r="F20" s="312" t="s">
        <v>65</v>
      </c>
    </row>
    <row r="21" spans="1:6" ht="18.75" hidden="1" thickBot="1" x14ac:dyDescent="0.45">
      <c r="A21" s="69" t="s">
        <v>19</v>
      </c>
      <c r="B21" s="74" t="s">
        <v>140</v>
      </c>
      <c r="C21" s="384" t="s">
        <v>65</v>
      </c>
      <c r="D21" s="395">
        <v>40564</v>
      </c>
      <c r="E21" s="311" t="s">
        <v>65</v>
      </c>
      <c r="F21" s="312" t="s">
        <v>65</v>
      </c>
    </row>
    <row r="22" spans="1:6" ht="18.75" hidden="1" thickBot="1" x14ac:dyDescent="0.45">
      <c r="A22" s="70" t="s">
        <v>20</v>
      </c>
      <c r="B22" s="74" t="s">
        <v>140</v>
      </c>
      <c r="C22" s="384" t="s">
        <v>65</v>
      </c>
      <c r="D22" s="395">
        <v>13504</v>
      </c>
      <c r="E22" s="311" t="s">
        <v>65</v>
      </c>
      <c r="F22" s="312" t="s">
        <v>65</v>
      </c>
    </row>
    <row r="23" spans="1:6" ht="18.75" hidden="1" thickBot="1" x14ac:dyDescent="0.45">
      <c r="A23" s="34" t="s">
        <v>145</v>
      </c>
      <c r="B23" s="111" t="s">
        <v>140</v>
      </c>
      <c r="C23" s="272">
        <f>SUM(C3:C22)</f>
        <v>0</v>
      </c>
      <c r="D23" s="277">
        <f t="shared" ref="D23:E23" si="0">SUM(D3:D22)</f>
        <v>216594</v>
      </c>
      <c r="E23" s="335">
        <f t="shared" si="0"/>
        <v>0</v>
      </c>
      <c r="F23" s="336">
        <v>0</v>
      </c>
    </row>
    <row r="24" spans="1:6" ht="18" x14ac:dyDescent="0.4">
      <c r="A24" s="25" t="s">
        <v>1</v>
      </c>
      <c r="B24" s="99" t="s">
        <v>141</v>
      </c>
      <c r="C24" s="365">
        <v>2792</v>
      </c>
      <c r="D24" s="366">
        <v>716.72</v>
      </c>
      <c r="E24" s="289" t="s">
        <v>65</v>
      </c>
      <c r="F24" s="379" t="s">
        <v>65</v>
      </c>
    </row>
    <row r="25" spans="1:6" ht="18" x14ac:dyDescent="0.4">
      <c r="A25" s="14" t="s">
        <v>2</v>
      </c>
      <c r="B25" s="99" t="s">
        <v>141</v>
      </c>
      <c r="C25" s="345">
        <v>1065</v>
      </c>
      <c r="D25" s="346">
        <v>433.0788</v>
      </c>
      <c r="E25" s="285" t="s">
        <v>65</v>
      </c>
      <c r="F25" s="292" t="s">
        <v>65</v>
      </c>
    </row>
    <row r="26" spans="1:6" ht="18" x14ac:dyDescent="0.4">
      <c r="A26" s="14" t="s">
        <v>3</v>
      </c>
      <c r="B26" s="99" t="s">
        <v>141</v>
      </c>
      <c r="C26" s="345">
        <v>1115</v>
      </c>
      <c r="D26" s="346">
        <v>410.99669999999998</v>
      </c>
      <c r="E26" s="285" t="s">
        <v>65</v>
      </c>
      <c r="F26" s="292" t="s">
        <v>65</v>
      </c>
    </row>
    <row r="27" spans="1:6" ht="18" x14ac:dyDescent="0.4">
      <c r="A27" s="14" t="s">
        <v>4</v>
      </c>
      <c r="B27" s="99" t="s">
        <v>141</v>
      </c>
      <c r="C27" s="345">
        <v>2173</v>
      </c>
      <c r="D27" s="346">
        <v>1225.4466</v>
      </c>
      <c r="E27" s="285" t="s">
        <v>65</v>
      </c>
      <c r="F27" s="292" t="s">
        <v>65</v>
      </c>
    </row>
    <row r="28" spans="1:6" ht="18" x14ac:dyDescent="0.4">
      <c r="A28" s="14" t="s">
        <v>5</v>
      </c>
      <c r="B28" s="99" t="s">
        <v>141</v>
      </c>
      <c r="C28" s="345">
        <v>1441</v>
      </c>
      <c r="D28" s="346">
        <v>747.41</v>
      </c>
      <c r="E28" s="285" t="s">
        <v>65</v>
      </c>
      <c r="F28" s="292" t="s">
        <v>65</v>
      </c>
    </row>
    <row r="29" spans="1:6" ht="18" x14ac:dyDescent="0.4">
      <c r="A29" s="14" t="s">
        <v>6</v>
      </c>
      <c r="B29" s="99" t="s">
        <v>141</v>
      </c>
      <c r="C29" s="348">
        <v>789</v>
      </c>
      <c r="D29" s="349">
        <v>463.70239999999995</v>
      </c>
      <c r="E29" s="286" t="s">
        <v>65</v>
      </c>
      <c r="F29" s="318" t="s">
        <v>65</v>
      </c>
    </row>
    <row r="30" spans="1:6" ht="18" x14ac:dyDescent="0.4">
      <c r="A30" s="14" t="s">
        <v>7</v>
      </c>
      <c r="B30" s="99" t="s">
        <v>141</v>
      </c>
      <c r="C30" s="345" t="s">
        <v>65</v>
      </c>
      <c r="D30" s="346">
        <v>93.993900000000011</v>
      </c>
      <c r="E30" s="285" t="s">
        <v>65</v>
      </c>
      <c r="F30" s="292" t="s">
        <v>65</v>
      </c>
    </row>
    <row r="31" spans="1:6" ht="18" x14ac:dyDescent="0.4">
      <c r="A31" s="14" t="s">
        <v>8</v>
      </c>
      <c r="B31" s="99" t="s">
        <v>141</v>
      </c>
      <c r="C31" s="345">
        <v>2159</v>
      </c>
      <c r="D31" s="346">
        <v>762.66150000000005</v>
      </c>
      <c r="E31" s="285" t="s">
        <v>65</v>
      </c>
      <c r="F31" s="292" t="s">
        <v>65</v>
      </c>
    </row>
    <row r="32" spans="1:6" ht="18" x14ac:dyDescent="0.4">
      <c r="A32" s="14" t="s">
        <v>9</v>
      </c>
      <c r="B32" s="99" t="s">
        <v>141</v>
      </c>
      <c r="C32" s="345" t="s">
        <v>65</v>
      </c>
      <c r="D32" s="346"/>
      <c r="E32" s="285" t="s">
        <v>65</v>
      </c>
      <c r="F32" s="292" t="s">
        <v>65</v>
      </c>
    </row>
    <row r="33" spans="1:6" ht="18" x14ac:dyDescent="0.4">
      <c r="A33" s="14" t="s">
        <v>10</v>
      </c>
      <c r="B33" s="99" t="s">
        <v>141</v>
      </c>
      <c r="C33" s="345">
        <v>2064</v>
      </c>
      <c r="D33" s="346">
        <v>1250.1841999999999</v>
      </c>
      <c r="E33" s="285" t="s">
        <v>65</v>
      </c>
      <c r="F33" s="292" t="s">
        <v>65</v>
      </c>
    </row>
    <row r="34" spans="1:6" ht="18" x14ac:dyDescent="0.4">
      <c r="A34" s="14" t="s">
        <v>11</v>
      </c>
      <c r="B34" s="99" t="s">
        <v>141</v>
      </c>
      <c r="C34" s="345">
        <v>736</v>
      </c>
      <c r="D34" s="346">
        <v>362.12159999999994</v>
      </c>
      <c r="E34" s="285" t="s">
        <v>65</v>
      </c>
      <c r="F34" s="292" t="s">
        <v>65</v>
      </c>
    </row>
    <row r="35" spans="1:6" ht="18" x14ac:dyDescent="0.4">
      <c r="A35" s="14" t="s">
        <v>12</v>
      </c>
      <c r="B35" s="99" t="s">
        <v>141</v>
      </c>
      <c r="C35" s="345">
        <v>2842</v>
      </c>
      <c r="D35" s="346">
        <v>1676.329</v>
      </c>
      <c r="E35" s="285" t="s">
        <v>65</v>
      </c>
      <c r="F35" s="292" t="s">
        <v>65</v>
      </c>
    </row>
    <row r="36" spans="1:6" ht="18" x14ac:dyDescent="0.4">
      <c r="A36" s="14" t="s">
        <v>13</v>
      </c>
      <c r="B36" s="99" t="s">
        <v>141</v>
      </c>
      <c r="C36" s="345">
        <v>1378</v>
      </c>
      <c r="D36" s="346">
        <v>633.92320000000007</v>
      </c>
      <c r="E36" s="285" t="s">
        <v>65</v>
      </c>
      <c r="F36" s="292" t="s">
        <v>65</v>
      </c>
    </row>
    <row r="37" spans="1:6" ht="18" x14ac:dyDescent="0.4">
      <c r="A37" s="14" t="s">
        <v>14</v>
      </c>
      <c r="B37" s="99" t="s">
        <v>141</v>
      </c>
      <c r="C37" s="345">
        <v>720</v>
      </c>
      <c r="D37" s="346">
        <v>255.8244</v>
      </c>
      <c r="E37" s="285" t="s">
        <v>65</v>
      </c>
      <c r="F37" s="292" t="s">
        <v>65</v>
      </c>
    </row>
    <row r="38" spans="1:6" ht="18" x14ac:dyDescent="0.4">
      <c r="A38" s="14" t="s">
        <v>15</v>
      </c>
      <c r="B38" s="99" t="s">
        <v>141</v>
      </c>
      <c r="C38" s="345">
        <v>1462</v>
      </c>
      <c r="D38" s="346">
        <v>971.85960000000011</v>
      </c>
      <c r="E38" s="285" t="s">
        <v>65</v>
      </c>
      <c r="F38" s="292" t="s">
        <v>65</v>
      </c>
    </row>
    <row r="39" spans="1:6" ht="18" x14ac:dyDescent="0.4">
      <c r="A39" s="14" t="s">
        <v>16</v>
      </c>
      <c r="B39" s="99" t="s">
        <v>141</v>
      </c>
      <c r="C39" s="345">
        <v>1813</v>
      </c>
      <c r="D39" s="346">
        <v>1102.5891999999999</v>
      </c>
      <c r="E39" s="285" t="s">
        <v>65</v>
      </c>
      <c r="F39" s="292" t="s">
        <v>65</v>
      </c>
    </row>
    <row r="40" spans="1:6" ht="18" x14ac:dyDescent="0.4">
      <c r="A40" s="14" t="s">
        <v>17</v>
      </c>
      <c r="B40" s="99" t="s">
        <v>141</v>
      </c>
      <c r="C40" s="345">
        <v>559</v>
      </c>
      <c r="D40" s="346">
        <v>322.94400000000002</v>
      </c>
      <c r="E40" s="285" t="s">
        <v>65</v>
      </c>
      <c r="F40" s="292" t="s">
        <v>65</v>
      </c>
    </row>
    <row r="41" spans="1:6" ht="18" x14ac:dyDescent="0.4">
      <c r="A41" s="14" t="s">
        <v>18</v>
      </c>
      <c r="B41" s="99" t="s">
        <v>141</v>
      </c>
      <c r="C41" s="345">
        <v>1655</v>
      </c>
      <c r="D41" s="346">
        <v>687.00240000000008</v>
      </c>
      <c r="E41" s="285" t="s">
        <v>65</v>
      </c>
      <c r="F41" s="292" t="s">
        <v>65</v>
      </c>
    </row>
    <row r="42" spans="1:6" ht="18" x14ac:dyDescent="0.4">
      <c r="A42" s="14" t="s">
        <v>19</v>
      </c>
      <c r="B42" s="99" t="s">
        <v>141</v>
      </c>
      <c r="C42" s="345">
        <v>5251</v>
      </c>
      <c r="D42" s="346">
        <v>3813.0160000000005</v>
      </c>
      <c r="E42" s="285" t="s">
        <v>65</v>
      </c>
      <c r="F42" s="292" t="s">
        <v>65</v>
      </c>
    </row>
    <row r="43" spans="1:6" ht="18.75" thickBot="1" x14ac:dyDescent="0.45">
      <c r="A43" s="27" t="s">
        <v>20</v>
      </c>
      <c r="B43" s="99" t="s">
        <v>141</v>
      </c>
      <c r="C43" s="351">
        <v>1864</v>
      </c>
      <c r="D43" s="352">
        <v>825.09440000000006</v>
      </c>
      <c r="E43" s="320" t="s">
        <v>65</v>
      </c>
      <c r="F43" s="321" t="s">
        <v>65</v>
      </c>
    </row>
    <row r="44" spans="1:6" ht="18.75" thickBot="1" x14ac:dyDescent="0.45">
      <c r="A44" s="34" t="s">
        <v>146</v>
      </c>
      <c r="B44" s="111" t="s">
        <v>141</v>
      </c>
      <c r="C44" s="328">
        <f>SUM(C24:C43)</f>
        <v>31878</v>
      </c>
      <c r="D44" s="329">
        <f>SUM(D24:D43)</f>
        <v>16754.8979</v>
      </c>
      <c r="E44" s="329">
        <f t="shared" ref="E44:F44" si="1">SUM(E24:E43)</f>
        <v>0</v>
      </c>
      <c r="F44" s="330">
        <f t="shared" si="1"/>
        <v>0</v>
      </c>
    </row>
    <row r="45" spans="1:6" ht="18.75" thickBot="1" x14ac:dyDescent="0.45">
      <c r="A45" s="34" t="s">
        <v>40</v>
      </c>
      <c r="B45" s="111" t="s">
        <v>141</v>
      </c>
      <c r="C45" s="331">
        <f>AVERAGE(C24:C43)</f>
        <v>1771</v>
      </c>
      <c r="D45" s="332">
        <f>AVERAGE(D24:D43)</f>
        <v>881.83673157894737</v>
      </c>
      <c r="E45" s="332">
        <v>0</v>
      </c>
      <c r="F45" s="333">
        <v>0</v>
      </c>
    </row>
    <row r="46" spans="1:6" ht="18.75" thickBot="1" x14ac:dyDescent="0.45">
      <c r="A46" s="35" t="s">
        <v>41</v>
      </c>
      <c r="B46" s="146" t="s">
        <v>141</v>
      </c>
      <c r="C46" s="334">
        <f>MEDIAN(C24:C43)</f>
        <v>1558.5</v>
      </c>
      <c r="D46" s="335">
        <f t="shared" ref="D46" si="2">MEDIAN(D24:D43)</f>
        <v>716.72</v>
      </c>
      <c r="E46" s="335">
        <v>0</v>
      </c>
      <c r="F46" s="336">
        <v>0</v>
      </c>
    </row>
    <row r="47" spans="1:6" ht="18" hidden="1" x14ac:dyDescent="0.4">
      <c r="A47" s="25" t="s">
        <v>1</v>
      </c>
      <c r="B47" s="99" t="s">
        <v>142</v>
      </c>
      <c r="C47" s="365" t="s">
        <v>65</v>
      </c>
      <c r="D47" s="366">
        <v>24.030846605196984</v>
      </c>
      <c r="E47" s="289" t="s">
        <v>65</v>
      </c>
      <c r="F47" s="379" t="s">
        <v>65</v>
      </c>
    </row>
    <row r="48" spans="1:6" ht="18" hidden="1" x14ac:dyDescent="0.4">
      <c r="A48" s="14" t="s">
        <v>2</v>
      </c>
      <c r="B48" s="99" t="s">
        <v>142</v>
      </c>
      <c r="C48" s="345" t="s">
        <v>65</v>
      </c>
      <c r="D48" s="346">
        <v>25.439309210526314</v>
      </c>
      <c r="E48" s="285" t="s">
        <v>65</v>
      </c>
      <c r="F48" s="292" t="s">
        <v>65</v>
      </c>
    </row>
    <row r="49" spans="1:6" ht="18" hidden="1" x14ac:dyDescent="0.4">
      <c r="A49" s="14" t="s">
        <v>3</v>
      </c>
      <c r="B49" s="99" t="s">
        <v>142</v>
      </c>
      <c r="C49" s="345" t="s">
        <v>65</v>
      </c>
      <c r="D49" s="346">
        <v>38.864936170212765</v>
      </c>
      <c r="E49" s="285" t="s">
        <v>65</v>
      </c>
      <c r="F49" s="292" t="s">
        <v>65</v>
      </c>
    </row>
    <row r="50" spans="1:6" ht="18" hidden="1" x14ac:dyDescent="0.4">
      <c r="A50" s="14" t="s">
        <v>4</v>
      </c>
      <c r="B50" s="99" t="s">
        <v>142</v>
      </c>
      <c r="C50" s="345" t="s">
        <v>65</v>
      </c>
      <c r="D50" s="346">
        <v>36.716401006711415</v>
      </c>
      <c r="E50" s="285" t="s">
        <v>65</v>
      </c>
      <c r="F50" s="292" t="s">
        <v>65</v>
      </c>
    </row>
    <row r="51" spans="1:6" ht="18" hidden="1" x14ac:dyDescent="0.4">
      <c r="A51" s="14" t="s">
        <v>5</v>
      </c>
      <c r="B51" s="99" t="s">
        <v>142</v>
      </c>
      <c r="C51" s="345" t="s">
        <v>65</v>
      </c>
      <c r="D51" s="346">
        <v>34.161067690479456</v>
      </c>
      <c r="E51" s="285" t="s">
        <v>65</v>
      </c>
      <c r="F51" s="292" t="s">
        <v>65</v>
      </c>
    </row>
    <row r="52" spans="1:6" ht="18" hidden="1" x14ac:dyDescent="0.4">
      <c r="A52" s="14" t="s">
        <v>6</v>
      </c>
      <c r="B52" s="99" t="s">
        <v>142</v>
      </c>
      <c r="C52" s="348" t="s">
        <v>65</v>
      </c>
      <c r="D52" s="349">
        <v>25.93558923877174</v>
      </c>
      <c r="E52" s="286" t="s">
        <v>65</v>
      </c>
      <c r="F52" s="318" t="s">
        <v>65</v>
      </c>
    </row>
    <row r="53" spans="1:6" ht="18" hidden="1" x14ac:dyDescent="0.4">
      <c r="A53" s="14" t="s">
        <v>7</v>
      </c>
      <c r="B53" s="99" t="s">
        <v>142</v>
      </c>
      <c r="C53" s="345" t="s">
        <v>65</v>
      </c>
      <c r="D53" s="346">
        <v>45.320106075216977</v>
      </c>
      <c r="E53" s="285" t="s">
        <v>65</v>
      </c>
      <c r="F53" s="292" t="s">
        <v>65</v>
      </c>
    </row>
    <row r="54" spans="1:6" ht="18" hidden="1" x14ac:dyDescent="0.4">
      <c r="A54" s="14" t="s">
        <v>8</v>
      </c>
      <c r="B54" s="99" t="s">
        <v>142</v>
      </c>
      <c r="C54" s="345" t="s">
        <v>65</v>
      </c>
      <c r="D54" s="346">
        <v>26.015196479738027</v>
      </c>
      <c r="E54" s="285" t="s">
        <v>65</v>
      </c>
      <c r="F54" s="292" t="s">
        <v>65</v>
      </c>
    </row>
    <row r="55" spans="1:6" ht="18" hidden="1" x14ac:dyDescent="0.4">
      <c r="A55" s="14" t="s">
        <v>9</v>
      </c>
      <c r="B55" s="99" t="s">
        <v>142</v>
      </c>
      <c r="C55" s="345" t="s">
        <v>65</v>
      </c>
      <c r="D55" s="346">
        <v>0</v>
      </c>
      <c r="E55" s="285" t="s">
        <v>65</v>
      </c>
      <c r="F55" s="292" t="s">
        <v>65</v>
      </c>
    </row>
    <row r="56" spans="1:6" ht="18" hidden="1" x14ac:dyDescent="0.4">
      <c r="A56" s="14" t="s">
        <v>10</v>
      </c>
      <c r="B56" s="99" t="s">
        <v>142</v>
      </c>
      <c r="C56" s="345" t="s">
        <v>65</v>
      </c>
      <c r="D56" s="346">
        <v>39.596623697463023</v>
      </c>
      <c r="E56" s="285" t="s">
        <v>65</v>
      </c>
      <c r="F56" s="292" t="s">
        <v>65</v>
      </c>
    </row>
    <row r="57" spans="1:6" ht="18" hidden="1" x14ac:dyDescent="0.4">
      <c r="A57" s="14" t="s">
        <v>11</v>
      </c>
      <c r="B57" s="99" t="s">
        <v>142</v>
      </c>
      <c r="C57" s="345" t="s">
        <v>65</v>
      </c>
      <c r="D57" s="346">
        <v>35.69107037256061</v>
      </c>
      <c r="E57" s="285" t="s">
        <v>65</v>
      </c>
      <c r="F57" s="292" t="s">
        <v>65</v>
      </c>
    </row>
    <row r="58" spans="1:6" ht="18" hidden="1" x14ac:dyDescent="0.4">
      <c r="A58" s="14" t="s">
        <v>12</v>
      </c>
      <c r="B58" s="99" t="s">
        <v>142</v>
      </c>
      <c r="C58" s="345" t="s">
        <v>65</v>
      </c>
      <c r="D58" s="346">
        <v>36.726163351152401</v>
      </c>
      <c r="E58" s="285" t="s">
        <v>65</v>
      </c>
      <c r="F58" s="292" t="s">
        <v>65</v>
      </c>
    </row>
    <row r="59" spans="1:6" ht="18" hidden="1" x14ac:dyDescent="0.4">
      <c r="A59" s="14" t="s">
        <v>13</v>
      </c>
      <c r="B59" s="99" t="s">
        <v>142</v>
      </c>
      <c r="C59" s="345" t="s">
        <v>65</v>
      </c>
      <c r="D59" s="346">
        <v>23.319717480871102</v>
      </c>
      <c r="E59" s="285" t="s">
        <v>65</v>
      </c>
      <c r="F59" s="292" t="s">
        <v>65</v>
      </c>
    </row>
    <row r="60" spans="1:6" ht="18" hidden="1" x14ac:dyDescent="0.4">
      <c r="A60" s="14" t="s">
        <v>14</v>
      </c>
      <c r="B60" s="99" t="s">
        <v>142</v>
      </c>
      <c r="C60" s="345" t="s">
        <v>65</v>
      </c>
      <c r="D60" s="346">
        <v>21.753775510204079</v>
      </c>
      <c r="E60" s="285" t="s">
        <v>65</v>
      </c>
      <c r="F60" s="292" t="s">
        <v>65</v>
      </c>
    </row>
    <row r="61" spans="1:6" ht="18" hidden="1" x14ac:dyDescent="0.4">
      <c r="A61" s="14" t="s">
        <v>15</v>
      </c>
      <c r="B61" s="99" t="s">
        <v>142</v>
      </c>
      <c r="C61" s="345" t="s">
        <v>65</v>
      </c>
      <c r="D61" s="346">
        <v>43.706583917970868</v>
      </c>
      <c r="E61" s="285" t="s">
        <v>65</v>
      </c>
      <c r="F61" s="292" t="s">
        <v>65</v>
      </c>
    </row>
    <row r="62" spans="1:6" ht="18" hidden="1" x14ac:dyDescent="0.4">
      <c r="A62" s="14" t="s">
        <v>16</v>
      </c>
      <c r="B62" s="99" t="s">
        <v>142</v>
      </c>
      <c r="C62" s="345" t="s">
        <v>65</v>
      </c>
      <c r="D62" s="346">
        <v>43.086721375537316</v>
      </c>
      <c r="E62" s="285" t="s">
        <v>65</v>
      </c>
      <c r="F62" s="292" t="s">
        <v>65</v>
      </c>
    </row>
    <row r="63" spans="1:6" ht="18" hidden="1" x14ac:dyDescent="0.4">
      <c r="A63" s="14" t="s">
        <v>17</v>
      </c>
      <c r="B63" s="99" t="s">
        <v>142</v>
      </c>
      <c r="C63" s="345" t="s">
        <v>65</v>
      </c>
      <c r="D63" s="346">
        <v>30.36043997367679</v>
      </c>
      <c r="E63" s="285" t="s">
        <v>65</v>
      </c>
      <c r="F63" s="292" t="s">
        <v>65</v>
      </c>
    </row>
    <row r="64" spans="1:6" ht="18" hidden="1" x14ac:dyDescent="0.4">
      <c r="A64" s="14" t="s">
        <v>18</v>
      </c>
      <c r="B64" s="99" t="s">
        <v>142</v>
      </c>
      <c r="C64" s="345" t="s">
        <v>65</v>
      </c>
      <c r="D64" s="346">
        <v>34.903337905807049</v>
      </c>
      <c r="E64" s="285" t="s">
        <v>65</v>
      </c>
      <c r="F64" s="292" t="s">
        <v>65</v>
      </c>
    </row>
    <row r="65" spans="1:6" ht="18" hidden="1" x14ac:dyDescent="0.4">
      <c r="A65" s="14" t="s">
        <v>19</v>
      </c>
      <c r="B65" s="99" t="s">
        <v>142</v>
      </c>
      <c r="C65" s="345" t="s">
        <v>65</v>
      </c>
      <c r="D65" s="346">
        <v>43.679660919869413</v>
      </c>
      <c r="E65" s="285" t="s">
        <v>65</v>
      </c>
      <c r="F65" s="292" t="s">
        <v>65</v>
      </c>
    </row>
    <row r="66" spans="1:6" ht="18.75" hidden="1" thickBot="1" x14ac:dyDescent="0.45">
      <c r="A66" s="27" t="s">
        <v>20</v>
      </c>
      <c r="B66" s="99" t="s">
        <v>142</v>
      </c>
      <c r="C66" s="351" t="s">
        <v>65</v>
      </c>
      <c r="D66" s="352">
        <v>26.833210836124753</v>
      </c>
      <c r="E66" s="320" t="s">
        <v>65</v>
      </c>
      <c r="F66" s="321" t="s">
        <v>65</v>
      </c>
    </row>
    <row r="67" spans="1:6" ht="18.75" hidden="1" thickBot="1" x14ac:dyDescent="0.45">
      <c r="A67" s="34" t="s">
        <v>146</v>
      </c>
      <c r="B67" s="111" t="s">
        <v>142</v>
      </c>
      <c r="C67" s="328">
        <f>SUM(C47:C66)</f>
        <v>0</v>
      </c>
      <c r="D67" s="283">
        <f>SUM(D47:D66)</f>
        <v>636.14075781809106</v>
      </c>
      <c r="E67" s="329">
        <f t="shared" ref="E67" si="3">SUM(E47:E66)</f>
        <v>0</v>
      </c>
      <c r="F67" s="330">
        <f t="shared" ref="F67" si="4">SUM(F47:F66)</f>
        <v>0</v>
      </c>
    </row>
    <row r="68" spans="1:6" ht="18.75" hidden="1" thickBot="1" x14ac:dyDescent="0.45">
      <c r="A68" s="34" t="s">
        <v>40</v>
      </c>
      <c r="B68" s="111" t="s">
        <v>142</v>
      </c>
      <c r="C68" s="331">
        <v>0</v>
      </c>
      <c r="D68" s="280">
        <f>AVERAGE(D47:D66)</f>
        <v>31.807037890904553</v>
      </c>
      <c r="E68" s="332">
        <v>0</v>
      </c>
      <c r="F68" s="333">
        <v>0</v>
      </c>
    </row>
    <row r="69" spans="1:6" ht="18.75" hidden="1" thickBot="1" x14ac:dyDescent="0.45">
      <c r="A69" s="35" t="s">
        <v>41</v>
      </c>
      <c r="B69" s="146" t="s">
        <v>142</v>
      </c>
      <c r="C69" s="334">
        <v>0</v>
      </c>
      <c r="D69" s="277">
        <f t="shared" ref="D69" si="5">MEDIAN(D47:D66)</f>
        <v>34.532202798143253</v>
      </c>
      <c r="E69" s="335">
        <v>0</v>
      </c>
      <c r="F69" s="336">
        <v>0</v>
      </c>
    </row>
    <row r="70" spans="1:6" x14ac:dyDescent="0.25">
      <c r="A70"/>
      <c r="B70"/>
      <c r="C70"/>
      <c r="D70"/>
      <c r="E70"/>
      <c r="F70"/>
    </row>
    <row r="71" spans="1:6" x14ac:dyDescent="0.25">
      <c r="A71"/>
      <c r="B71"/>
      <c r="C71"/>
      <c r="D71"/>
      <c r="E71"/>
      <c r="F71"/>
    </row>
    <row r="72" spans="1:6" x14ac:dyDescent="0.25">
      <c r="A72"/>
      <c r="B72"/>
      <c r="C72"/>
      <c r="D72"/>
      <c r="E72"/>
      <c r="F72"/>
    </row>
    <row r="73" spans="1:6" x14ac:dyDescent="0.25">
      <c r="A73"/>
      <c r="B73"/>
      <c r="C73"/>
      <c r="D73"/>
      <c r="E73"/>
      <c r="F73"/>
    </row>
    <row r="74" spans="1:6" x14ac:dyDescent="0.25">
      <c r="A74"/>
      <c r="B74"/>
      <c r="C74"/>
      <c r="D74"/>
      <c r="E74"/>
      <c r="F74"/>
    </row>
    <row r="75" spans="1:6" x14ac:dyDescent="0.25">
      <c r="A75"/>
      <c r="B75"/>
      <c r="C75"/>
      <c r="D75"/>
      <c r="E75"/>
      <c r="F75"/>
    </row>
    <row r="76" spans="1:6" x14ac:dyDescent="0.25">
      <c r="A76"/>
      <c r="B76"/>
      <c r="C76"/>
      <c r="D76"/>
      <c r="E76"/>
      <c r="F76"/>
    </row>
    <row r="77" spans="1:6" x14ac:dyDescent="0.25">
      <c r="A77"/>
      <c r="B77"/>
      <c r="C77"/>
      <c r="D77"/>
      <c r="E77"/>
      <c r="F77"/>
    </row>
    <row r="78" spans="1:6" x14ac:dyDescent="0.25">
      <c r="A78"/>
      <c r="B78"/>
      <c r="C78"/>
      <c r="D78"/>
      <c r="E78"/>
      <c r="F78"/>
    </row>
    <row r="79" spans="1:6" x14ac:dyDescent="0.25">
      <c r="A79"/>
      <c r="B79"/>
      <c r="C79"/>
      <c r="D79"/>
      <c r="E79"/>
      <c r="F79"/>
    </row>
    <row r="80" spans="1:6" x14ac:dyDescent="0.25">
      <c r="A80"/>
      <c r="B80"/>
      <c r="C80"/>
      <c r="D80"/>
      <c r="E80"/>
      <c r="F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s="58" customFormat="1" ht="12.75" x14ac:dyDescent="0.2"/>
    <row r="143" s="58" customFormat="1" ht="12.75" x14ac:dyDescent="0.2"/>
    <row r="144" s="58" customFormat="1" ht="12.75" x14ac:dyDescent="0.2"/>
    <row r="145" s="58" customFormat="1" ht="12.75" x14ac:dyDescent="0.2"/>
  </sheetData>
  <mergeCells count="1">
    <mergeCell ref="A1:F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8F7F085-B099-4E2B-8086-7F82F384BCFC}">
          <x14:formula1>
            <xm:f>MESTRE!$A$2:$A$21</xm:f>
          </x14:formula1>
          <xm:sqref>A3:A22 A24:A43 A47:A66 A70:A142</xm:sqref>
        </x14:dataValidation>
        <x14:dataValidation type="list" allowBlank="1" showInputMessage="1" showErrorMessage="1" xr:uid="{9DAE15CF-CBA5-48D7-B607-63C1E0E5F144}">
          <x14:formula1>
            <xm:f>MESTRE!$A$2:$A$2096</xm:f>
          </x14:formula1>
          <xm:sqref>A44:A46 A23 A67:A69</xm:sqref>
        </x14:dataValidation>
        <x14:dataValidation type="list" allowBlank="1" showInputMessage="1" showErrorMessage="1" xr:uid="{5725F119-31BA-4435-972F-371E083831C2}">
          <x14:formula1>
            <xm:f>MESTRE!$K$2:$K$5</xm:f>
          </x14:formula1>
          <xm:sqref>B3:B69</xm:sqref>
        </x14:dataValidation>
        <x14:dataValidation type="list" allowBlank="1" showInputMessage="1" showErrorMessage="1" xr:uid="{C66325A1-085C-4A7E-8B10-67B2355DBD9C}">
          <x14:formula1>
            <xm:f>MESTRE!$C$2:$C$8</xm:f>
          </x14:formula1>
          <xm:sqref>B70:B403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="150" zoomScaleNormal="150" workbookViewId="0">
      <selection activeCell="F20" sqref="F20"/>
    </sheetView>
  </sheetViews>
  <sheetFormatPr baseColWidth="10" defaultColWidth="9.140625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1F6F-D9F1-450B-8C65-422E21FAEB4E}">
  <dimension ref="A1:G319"/>
  <sheetViews>
    <sheetView showGridLines="0" zoomScale="84" zoomScaleNormal="84" workbookViewId="0">
      <selection activeCell="E30" sqref="E30"/>
    </sheetView>
  </sheetViews>
  <sheetFormatPr baseColWidth="10" defaultRowHeight="15" x14ac:dyDescent="0.25"/>
  <cols>
    <col min="1" max="1" width="36" style="2" customWidth="1"/>
    <col min="2" max="2" width="24.28515625" style="2" hidden="1" customWidth="1"/>
    <col min="3" max="3" width="17.85546875" bestFit="1" customWidth="1"/>
    <col min="4" max="4" width="18.28515625" bestFit="1" customWidth="1"/>
    <col min="5" max="6" width="19.140625" bestFit="1" customWidth="1"/>
    <col min="7" max="7" width="17.85546875" customWidth="1"/>
    <col min="8" max="8" width="4.28515625" customWidth="1"/>
  </cols>
  <sheetData>
    <row r="1" spans="1:7" ht="24" customHeight="1" thickBot="1" x14ac:dyDescent="0.3">
      <c r="A1" s="397" t="s">
        <v>22</v>
      </c>
      <c r="B1" s="398"/>
      <c r="C1" s="398"/>
      <c r="D1" s="398"/>
      <c r="E1" s="398"/>
      <c r="F1" s="398"/>
      <c r="G1" s="399"/>
    </row>
    <row r="2" spans="1:7" s="9" customFormat="1" ht="35.25" customHeight="1" thickBot="1" x14ac:dyDescent="0.3">
      <c r="A2" s="10" t="s">
        <v>0</v>
      </c>
      <c r="B2" s="11" t="s">
        <v>24</v>
      </c>
      <c r="C2" s="12" t="s">
        <v>32</v>
      </c>
      <c r="D2" s="12" t="s">
        <v>33</v>
      </c>
      <c r="E2" s="12" t="s">
        <v>34</v>
      </c>
      <c r="F2" s="12" t="s">
        <v>35</v>
      </c>
      <c r="G2" s="13" t="s">
        <v>26</v>
      </c>
    </row>
    <row r="3" spans="1:7" ht="18" x14ac:dyDescent="0.4">
      <c r="A3" s="14" t="s">
        <v>1</v>
      </c>
      <c r="B3" s="15" t="s">
        <v>25</v>
      </c>
      <c r="C3" s="16">
        <v>29711</v>
      </c>
      <c r="D3" s="17">
        <v>29649</v>
      </c>
      <c r="E3" s="17">
        <v>29537</v>
      </c>
      <c r="F3" s="17">
        <v>29825</v>
      </c>
      <c r="G3" s="46">
        <f>Tabla1[[#This Row],[2023]]-Tabla1[[#This Row],[2020]]</f>
        <v>114</v>
      </c>
    </row>
    <row r="4" spans="1:7" ht="18" x14ac:dyDescent="0.4">
      <c r="A4" s="14" t="s">
        <v>2</v>
      </c>
      <c r="B4" s="15" t="s">
        <v>25</v>
      </c>
      <c r="C4" s="19">
        <v>16577</v>
      </c>
      <c r="D4" s="20">
        <v>16646</v>
      </c>
      <c r="E4" s="20">
        <v>16845</v>
      </c>
      <c r="F4" s="20">
        <v>17024</v>
      </c>
      <c r="G4" s="47">
        <f>Tabla1[[#This Row],[2023]]-Tabla1[[#This Row],[2020]]</f>
        <v>447</v>
      </c>
    </row>
    <row r="5" spans="1:7" ht="18" x14ac:dyDescent="0.4">
      <c r="A5" s="14" t="s">
        <v>3</v>
      </c>
      <c r="B5" s="15" t="s">
        <v>25</v>
      </c>
      <c r="C5" s="19">
        <v>10196</v>
      </c>
      <c r="D5" s="20">
        <v>10266</v>
      </c>
      <c r="E5" s="20">
        <v>10396</v>
      </c>
      <c r="F5" s="20">
        <v>10575</v>
      </c>
      <c r="G5" s="47">
        <f>Tabla1[[#This Row],[2023]]-Tabla1[[#This Row],[2020]]</f>
        <v>379</v>
      </c>
    </row>
    <row r="6" spans="1:7" ht="18" x14ac:dyDescent="0.4">
      <c r="A6" s="14" t="s">
        <v>4</v>
      </c>
      <c r="B6" s="15" t="s">
        <v>25</v>
      </c>
      <c r="C6" s="19">
        <v>32204</v>
      </c>
      <c r="D6" s="20">
        <v>32313</v>
      </c>
      <c r="E6" s="20">
        <v>32656</v>
      </c>
      <c r="F6" s="20">
        <v>33376</v>
      </c>
      <c r="G6" s="47">
        <f>Tabla1[[#This Row],[2023]]-Tabla1[[#This Row],[2020]]</f>
        <v>1172</v>
      </c>
    </row>
    <row r="7" spans="1:7" ht="18" x14ac:dyDescent="0.4">
      <c r="A7" s="14" t="s">
        <v>5</v>
      </c>
      <c r="B7" s="15" t="s">
        <v>25</v>
      </c>
      <c r="C7" s="19">
        <v>21935</v>
      </c>
      <c r="D7" s="20">
        <v>21415</v>
      </c>
      <c r="E7" s="20">
        <v>21480</v>
      </c>
      <c r="F7" s="20">
        <v>21879</v>
      </c>
      <c r="G7" s="45">
        <f>Tabla1[[#This Row],[2023]]-Tabla1[[#This Row],[2020]]</f>
        <v>-56</v>
      </c>
    </row>
    <row r="8" spans="1:7" ht="18" x14ac:dyDescent="0.4">
      <c r="A8" s="14" t="s">
        <v>6</v>
      </c>
      <c r="B8" s="15" t="s">
        <v>25</v>
      </c>
      <c r="C8" s="19">
        <v>15000</v>
      </c>
      <c r="D8" s="20">
        <v>15430</v>
      </c>
      <c r="E8" s="20">
        <v>15493</v>
      </c>
      <c r="F8" s="20">
        <v>17879</v>
      </c>
      <c r="G8" s="47">
        <f>Tabla1[[#This Row],[2023]]-Tabla1[[#This Row],[2020]]</f>
        <v>2879</v>
      </c>
    </row>
    <row r="9" spans="1:7" ht="18" x14ac:dyDescent="0.4">
      <c r="A9" s="14" t="s">
        <v>7</v>
      </c>
      <c r="B9" s="15" t="s">
        <v>25</v>
      </c>
      <c r="C9" s="19">
        <v>2015</v>
      </c>
      <c r="D9" s="20">
        <v>2024</v>
      </c>
      <c r="E9" s="20">
        <v>2020</v>
      </c>
      <c r="F9" s="20">
        <v>2074</v>
      </c>
      <c r="G9" s="47">
        <f>Tabla1[[#This Row],[2023]]-Tabla1[[#This Row],[2020]]</f>
        <v>59</v>
      </c>
    </row>
    <row r="10" spans="1:7" ht="18" x14ac:dyDescent="0.4">
      <c r="A10" s="14" t="s">
        <v>8</v>
      </c>
      <c r="B10" s="15" t="s">
        <v>25</v>
      </c>
      <c r="C10" s="19">
        <v>28608</v>
      </c>
      <c r="D10" s="20">
        <v>28509</v>
      </c>
      <c r="E10" s="20">
        <v>28679</v>
      </c>
      <c r="F10" s="20">
        <v>29316</v>
      </c>
      <c r="G10" s="47">
        <f>Tabla1[[#This Row],[2023]]-Tabla1[[#This Row],[2020]]</f>
        <v>708</v>
      </c>
    </row>
    <row r="11" spans="1:7" ht="18" x14ac:dyDescent="0.4">
      <c r="A11" s="14" t="s">
        <v>9</v>
      </c>
      <c r="B11" s="15" t="s">
        <v>25</v>
      </c>
      <c r="C11" s="19">
        <v>118</v>
      </c>
      <c r="D11" s="20">
        <v>124</v>
      </c>
      <c r="E11" s="20">
        <v>109</v>
      </c>
      <c r="F11" s="20">
        <v>124</v>
      </c>
      <c r="G11" s="47">
        <f>Tabla1[[#This Row],[2023]]-Tabla1[[#This Row],[2020]]</f>
        <v>6</v>
      </c>
    </row>
    <row r="12" spans="1:7" ht="18" x14ac:dyDescent="0.4">
      <c r="A12" s="14" t="s">
        <v>10</v>
      </c>
      <c r="B12" s="15" t="s">
        <v>25</v>
      </c>
      <c r="C12" s="19">
        <v>31240</v>
      </c>
      <c r="D12" s="20">
        <v>31287</v>
      </c>
      <c r="E12" s="20">
        <v>31170</v>
      </c>
      <c r="F12" s="20">
        <v>31573</v>
      </c>
      <c r="G12" s="47">
        <f>Tabla1[[#This Row],[2023]]-Tabla1[[#This Row],[2020]]</f>
        <v>333</v>
      </c>
    </row>
    <row r="13" spans="1:7" ht="18" x14ac:dyDescent="0.4">
      <c r="A13" s="14" t="s">
        <v>11</v>
      </c>
      <c r="B13" s="15" t="s">
        <v>25</v>
      </c>
      <c r="C13" s="19">
        <v>9782</v>
      </c>
      <c r="D13" s="20">
        <v>9845</v>
      </c>
      <c r="E13" s="20">
        <v>9929</v>
      </c>
      <c r="F13" s="20">
        <v>10146</v>
      </c>
      <c r="G13" s="47">
        <f>Tabla1[[#This Row],[2023]]-Tabla1[[#This Row],[2020]]</f>
        <v>364</v>
      </c>
    </row>
    <row r="14" spans="1:7" ht="18" x14ac:dyDescent="0.4">
      <c r="A14" s="14" t="s">
        <v>12</v>
      </c>
      <c r="B14" s="15" t="s">
        <v>25</v>
      </c>
      <c r="C14" s="19">
        <v>44320</v>
      </c>
      <c r="D14" s="20">
        <v>44320</v>
      </c>
      <c r="E14" s="20">
        <v>44282</v>
      </c>
      <c r="F14" s="20">
        <v>45644</v>
      </c>
      <c r="G14" s="47">
        <f>Tabla1[[#This Row],[2023]]-Tabla1[[#This Row],[2020]]</f>
        <v>1324</v>
      </c>
    </row>
    <row r="15" spans="1:7" ht="18" x14ac:dyDescent="0.4">
      <c r="A15" s="14" t="s">
        <v>13</v>
      </c>
      <c r="B15" s="15" t="s">
        <v>25</v>
      </c>
      <c r="C15" s="19">
        <v>26514</v>
      </c>
      <c r="D15" s="20">
        <v>26401</v>
      </c>
      <c r="E15" s="20">
        <v>26567</v>
      </c>
      <c r="F15" s="20">
        <v>27184</v>
      </c>
      <c r="G15" s="47">
        <f>Tabla1[[#This Row],[2023]]-Tabla1[[#This Row],[2020]]</f>
        <v>670</v>
      </c>
    </row>
    <row r="16" spans="1:7" ht="18" x14ac:dyDescent="0.4">
      <c r="A16" s="14" t="s">
        <v>14</v>
      </c>
      <c r="B16" s="15" t="s">
        <v>25</v>
      </c>
      <c r="C16" s="19">
        <v>11606</v>
      </c>
      <c r="D16" s="20">
        <v>11692</v>
      </c>
      <c r="E16" s="20">
        <v>11665</v>
      </c>
      <c r="F16" s="20">
        <v>11760</v>
      </c>
      <c r="G16" s="47">
        <f>Tabla1[[#This Row],[2023]]-Tabla1[[#This Row],[2020]]</f>
        <v>154</v>
      </c>
    </row>
    <row r="17" spans="1:7" ht="18" x14ac:dyDescent="0.4">
      <c r="A17" s="14" t="s">
        <v>15</v>
      </c>
      <c r="B17" s="15" t="s">
        <v>25</v>
      </c>
      <c r="C17" s="19">
        <v>21263</v>
      </c>
      <c r="D17" s="20">
        <v>21487</v>
      </c>
      <c r="E17" s="20">
        <v>21761</v>
      </c>
      <c r="F17" s="20">
        <v>22236</v>
      </c>
      <c r="G17" s="47">
        <f>Tabla1[[#This Row],[2023]]-Tabla1[[#This Row],[2020]]</f>
        <v>973</v>
      </c>
    </row>
    <row r="18" spans="1:7" ht="18" x14ac:dyDescent="0.4">
      <c r="A18" s="14" t="s">
        <v>16</v>
      </c>
      <c r="B18" s="15" t="s">
        <v>25</v>
      </c>
      <c r="C18" s="19">
        <v>25062</v>
      </c>
      <c r="D18" s="20">
        <v>25035</v>
      </c>
      <c r="E18" s="20">
        <v>25167</v>
      </c>
      <c r="F18" s="20">
        <v>25590</v>
      </c>
      <c r="G18" s="47">
        <f>Tabla1[[#This Row],[2023]]-Tabla1[[#This Row],[2020]]</f>
        <v>528</v>
      </c>
    </row>
    <row r="19" spans="1:7" ht="18" x14ac:dyDescent="0.4">
      <c r="A19" s="14" t="s">
        <v>17</v>
      </c>
      <c r="B19" s="15" t="s">
        <v>25</v>
      </c>
      <c r="C19" s="19">
        <v>10391</v>
      </c>
      <c r="D19" s="20">
        <v>10344</v>
      </c>
      <c r="E19" s="20">
        <v>10349</v>
      </c>
      <c r="F19" s="20">
        <v>10637</v>
      </c>
      <c r="G19" s="47">
        <f>Tabla1[[#This Row],[2023]]-Tabla1[[#This Row],[2020]]</f>
        <v>246</v>
      </c>
    </row>
    <row r="20" spans="1:7" ht="18" x14ac:dyDescent="0.4">
      <c r="A20" s="14" t="s">
        <v>18</v>
      </c>
      <c r="B20" s="15" t="s">
        <v>25</v>
      </c>
      <c r="C20" s="19">
        <v>19078</v>
      </c>
      <c r="D20" s="20">
        <v>19211</v>
      </c>
      <c r="E20" s="20">
        <v>19298</v>
      </c>
      <c r="F20" s="20">
        <v>19683</v>
      </c>
      <c r="G20" s="47">
        <f>Tabla1[[#This Row],[2023]]-Tabla1[[#This Row],[2020]]</f>
        <v>605</v>
      </c>
    </row>
    <row r="21" spans="1:7" ht="18" x14ac:dyDescent="0.4">
      <c r="A21" s="14" t="s">
        <v>19</v>
      </c>
      <c r="B21" s="15" t="s">
        <v>25</v>
      </c>
      <c r="C21" s="19">
        <v>83962</v>
      </c>
      <c r="D21" s="20">
        <v>84025</v>
      </c>
      <c r="E21" s="20">
        <v>85142</v>
      </c>
      <c r="F21" s="20">
        <v>87295</v>
      </c>
      <c r="G21" s="47">
        <f>Tabla1[[#This Row],[2023]]-Tabla1[[#This Row],[2020]]</f>
        <v>3333</v>
      </c>
    </row>
    <row r="22" spans="1:7" ht="18.75" thickBot="1" x14ac:dyDescent="0.45">
      <c r="A22" s="29" t="s">
        <v>20</v>
      </c>
      <c r="B22" s="32" t="s">
        <v>25</v>
      </c>
      <c r="C22" s="19">
        <v>30197</v>
      </c>
      <c r="D22" s="20">
        <v>30208</v>
      </c>
      <c r="E22" s="20">
        <v>30326</v>
      </c>
      <c r="F22" s="20">
        <v>30749</v>
      </c>
      <c r="G22" s="48">
        <f>Tabla1[[#This Row],[2023]]-Tabla1[[#This Row],[2020]]</f>
        <v>552</v>
      </c>
    </row>
    <row r="23" spans="1:7" ht="18.75" thickBot="1" x14ac:dyDescent="0.45">
      <c r="A23" s="34" t="s">
        <v>36</v>
      </c>
      <c r="B23" s="39" t="s">
        <v>25</v>
      </c>
      <c r="C23" s="41">
        <f>SUM(C3:C22)</f>
        <v>469779</v>
      </c>
      <c r="D23" s="37">
        <f t="shared" ref="D23:F23" si="0">SUM(D3:D22)</f>
        <v>470231</v>
      </c>
      <c r="E23" s="37">
        <f t="shared" si="0"/>
        <v>472871</v>
      </c>
      <c r="F23" s="42">
        <f t="shared" si="0"/>
        <v>484569</v>
      </c>
      <c r="G23" s="36"/>
    </row>
    <row r="24" spans="1:7" ht="18.75" thickBot="1" x14ac:dyDescent="0.45">
      <c r="A24" s="34" t="s">
        <v>40</v>
      </c>
      <c r="B24" s="39" t="s">
        <v>25</v>
      </c>
      <c r="C24" s="41">
        <f>AVERAGE(C3:C22)</f>
        <v>23488.95</v>
      </c>
      <c r="D24" s="37">
        <f t="shared" ref="D24:F24" si="1">AVERAGE(D3:D22)</f>
        <v>23511.55</v>
      </c>
      <c r="E24" s="37">
        <f t="shared" si="1"/>
        <v>23643.55</v>
      </c>
      <c r="F24" s="42">
        <f t="shared" si="1"/>
        <v>24228.45</v>
      </c>
      <c r="G24" s="36"/>
    </row>
    <row r="25" spans="1:7" ht="18.75" thickBot="1" x14ac:dyDescent="0.45">
      <c r="A25" s="35" t="s">
        <v>41</v>
      </c>
      <c r="B25" s="40" t="s">
        <v>25</v>
      </c>
      <c r="C25" s="43">
        <f>MEDIAN(C3:C22)</f>
        <v>21599</v>
      </c>
      <c r="D25" s="38">
        <f t="shared" ref="D25:F25" si="2">MEDIAN(D3:D22)</f>
        <v>21451</v>
      </c>
      <c r="E25" s="38">
        <f t="shared" si="2"/>
        <v>21620.5</v>
      </c>
      <c r="F25" s="44">
        <f t="shared" si="2"/>
        <v>22057.5</v>
      </c>
      <c r="G25" s="36"/>
    </row>
    <row r="26" spans="1:7" ht="18" hidden="1" x14ac:dyDescent="0.4">
      <c r="A26" s="25" t="s">
        <v>1</v>
      </c>
      <c r="B26" s="26" t="s">
        <v>27</v>
      </c>
      <c r="C26" s="62">
        <v>3.9</v>
      </c>
      <c r="D26" s="63">
        <v>3.9</v>
      </c>
      <c r="E26" s="63">
        <v>3.9</v>
      </c>
      <c r="F26" s="64">
        <v>3.9</v>
      </c>
      <c r="G26" s="58"/>
    </row>
    <row r="27" spans="1:7" ht="18" hidden="1" x14ac:dyDescent="0.4">
      <c r="A27" s="14" t="s">
        <v>2</v>
      </c>
      <c r="B27" s="15" t="s">
        <v>27</v>
      </c>
      <c r="C27" s="55">
        <v>7.37</v>
      </c>
      <c r="D27" s="56">
        <v>7.37</v>
      </c>
      <c r="E27" s="56">
        <v>7.37</v>
      </c>
      <c r="F27" s="57">
        <v>7.37</v>
      </c>
      <c r="G27" s="58"/>
    </row>
    <row r="28" spans="1:7" ht="18" hidden="1" x14ac:dyDescent="0.4">
      <c r="A28" s="14" t="s">
        <v>3</v>
      </c>
      <c r="B28" s="15" t="s">
        <v>27</v>
      </c>
      <c r="C28" s="55">
        <v>9.01</v>
      </c>
      <c r="D28" s="56">
        <v>9.01</v>
      </c>
      <c r="E28" s="56">
        <v>9.01</v>
      </c>
      <c r="F28" s="57">
        <v>9.01</v>
      </c>
      <c r="G28" s="58"/>
    </row>
    <row r="29" spans="1:7" ht="18" hidden="1" x14ac:dyDescent="0.4">
      <c r="A29" s="14" t="s">
        <v>4</v>
      </c>
      <c r="B29" s="15" t="s">
        <v>27</v>
      </c>
      <c r="C29" s="55">
        <v>16.05</v>
      </c>
      <c r="D29" s="56">
        <v>16.05</v>
      </c>
      <c r="E29" s="56">
        <v>16.05</v>
      </c>
      <c r="F29" s="57">
        <v>16.05</v>
      </c>
      <c r="G29" s="58"/>
    </row>
    <row r="30" spans="1:7" ht="18" hidden="1" x14ac:dyDescent="0.4">
      <c r="A30" s="14" t="s">
        <v>5</v>
      </c>
      <c r="B30" s="15" t="s">
        <v>27</v>
      </c>
      <c r="C30" s="55">
        <v>10.1</v>
      </c>
      <c r="D30" s="56">
        <v>10.1</v>
      </c>
      <c r="E30" s="56">
        <v>10.1</v>
      </c>
      <c r="F30" s="57">
        <v>10.1</v>
      </c>
      <c r="G30" s="58"/>
    </row>
    <row r="31" spans="1:7" ht="18" hidden="1" x14ac:dyDescent="0.4">
      <c r="A31" s="14" t="s">
        <v>6</v>
      </c>
      <c r="B31" s="15" t="s">
        <v>27</v>
      </c>
      <c r="C31" s="55">
        <v>0.78</v>
      </c>
      <c r="D31" s="56">
        <v>0.78</v>
      </c>
      <c r="E31" s="56">
        <v>0.78</v>
      </c>
      <c r="F31" s="57">
        <v>0.78</v>
      </c>
      <c r="G31" s="58"/>
    </row>
    <row r="32" spans="1:7" ht="18" hidden="1" x14ac:dyDescent="0.4">
      <c r="A32" s="14" t="s">
        <v>7</v>
      </c>
      <c r="B32" s="15" t="s">
        <v>27</v>
      </c>
      <c r="C32" s="55">
        <v>3.68</v>
      </c>
      <c r="D32" s="56">
        <v>3.68</v>
      </c>
      <c r="E32" s="56">
        <v>3.68</v>
      </c>
      <c r="F32" s="57">
        <v>3.68</v>
      </c>
      <c r="G32" s="58"/>
    </row>
    <row r="33" spans="1:7" ht="18" hidden="1" x14ac:dyDescent="0.4">
      <c r="A33" s="14" t="s">
        <v>8</v>
      </c>
      <c r="B33" s="15" t="s">
        <v>27</v>
      </c>
      <c r="C33" s="55">
        <v>13.04</v>
      </c>
      <c r="D33" s="56">
        <v>13.04</v>
      </c>
      <c r="E33" s="56">
        <v>13.04</v>
      </c>
      <c r="F33" s="57">
        <v>13.04</v>
      </c>
      <c r="G33" s="58"/>
    </row>
    <row r="34" spans="1:7" ht="18" hidden="1" x14ac:dyDescent="0.4">
      <c r="A34" s="14" t="s">
        <v>9</v>
      </c>
      <c r="B34" s="15" t="s">
        <v>27</v>
      </c>
      <c r="C34" s="55">
        <v>0.04</v>
      </c>
      <c r="D34" s="56">
        <v>0.04</v>
      </c>
      <c r="E34" s="56">
        <v>0.04</v>
      </c>
      <c r="F34" s="57">
        <v>0.04</v>
      </c>
      <c r="G34" s="58"/>
    </row>
    <row r="35" spans="1:7" ht="18" hidden="1" x14ac:dyDescent="0.4">
      <c r="A35" s="14" t="s">
        <v>10</v>
      </c>
      <c r="B35" s="15" t="s">
        <v>27</v>
      </c>
      <c r="C35" s="55">
        <v>19.649999999999999</v>
      </c>
      <c r="D35" s="56">
        <v>19.649999999999999</v>
      </c>
      <c r="E35" s="56">
        <v>19.649999999999999</v>
      </c>
      <c r="F35" s="57">
        <v>19.649999999999999</v>
      </c>
      <c r="G35" s="58"/>
    </row>
    <row r="36" spans="1:7" ht="18" hidden="1" x14ac:dyDescent="0.4">
      <c r="A36" s="14" t="s">
        <v>11</v>
      </c>
      <c r="B36" s="15" t="s">
        <v>27</v>
      </c>
      <c r="C36" s="55">
        <v>5.59</v>
      </c>
      <c r="D36" s="56">
        <v>5.59</v>
      </c>
      <c r="E36" s="56">
        <v>5.59</v>
      </c>
      <c r="F36" s="57">
        <v>5.59</v>
      </c>
      <c r="G36" s="58"/>
    </row>
    <row r="37" spans="1:7" ht="18" hidden="1" x14ac:dyDescent="0.4">
      <c r="A37" s="14" t="s">
        <v>12</v>
      </c>
      <c r="B37" s="15" t="s">
        <v>27</v>
      </c>
      <c r="C37" s="55">
        <v>2.06</v>
      </c>
      <c r="D37" s="56">
        <v>2.06</v>
      </c>
      <c r="E37" s="56">
        <v>2.06</v>
      </c>
      <c r="F37" s="57">
        <v>2.06</v>
      </c>
      <c r="G37" s="58"/>
    </row>
    <row r="38" spans="1:7" ht="18" hidden="1" x14ac:dyDescent="0.4">
      <c r="A38" s="14" t="s">
        <v>13</v>
      </c>
      <c r="B38" s="15" t="s">
        <v>27</v>
      </c>
      <c r="C38" s="55">
        <v>3.93</v>
      </c>
      <c r="D38" s="56">
        <v>3.93</v>
      </c>
      <c r="E38" s="56">
        <v>3.93</v>
      </c>
      <c r="F38" s="57">
        <v>3.93</v>
      </c>
      <c r="G38" s="58"/>
    </row>
    <row r="39" spans="1:7" ht="18" hidden="1" x14ac:dyDescent="0.4">
      <c r="A39" s="14" t="s">
        <v>14</v>
      </c>
      <c r="B39" s="15" t="s">
        <v>27</v>
      </c>
      <c r="C39" s="55">
        <v>7.12</v>
      </c>
      <c r="D39" s="56">
        <v>7.12</v>
      </c>
      <c r="E39" s="56">
        <v>7.12</v>
      </c>
      <c r="F39" s="57">
        <v>7.12</v>
      </c>
      <c r="G39" s="58"/>
    </row>
    <row r="40" spans="1:7" ht="18" hidden="1" x14ac:dyDescent="0.4">
      <c r="A40" s="14" t="s">
        <v>15</v>
      </c>
      <c r="B40" s="15" t="s">
        <v>27</v>
      </c>
      <c r="C40" s="55">
        <v>85.79</v>
      </c>
      <c r="D40" s="56">
        <v>85.79</v>
      </c>
      <c r="E40" s="56">
        <v>85.79</v>
      </c>
      <c r="F40" s="57">
        <v>85.79</v>
      </c>
      <c r="G40" s="58"/>
    </row>
    <row r="41" spans="1:7" ht="18" hidden="1" x14ac:dyDescent="0.4">
      <c r="A41" s="14" t="s">
        <v>16</v>
      </c>
      <c r="B41" s="15" t="s">
        <v>27</v>
      </c>
      <c r="C41" s="55">
        <v>19.64</v>
      </c>
      <c r="D41" s="56">
        <v>19.64</v>
      </c>
      <c r="E41" s="56">
        <v>19.64</v>
      </c>
      <c r="F41" s="57">
        <v>19.64</v>
      </c>
      <c r="G41" s="58"/>
    </row>
    <row r="42" spans="1:7" ht="18" hidden="1" x14ac:dyDescent="0.4">
      <c r="A42" s="14" t="s">
        <v>17</v>
      </c>
      <c r="B42" s="15" t="s">
        <v>27</v>
      </c>
      <c r="C42" s="55">
        <v>1.83</v>
      </c>
      <c r="D42" s="56">
        <v>1.83</v>
      </c>
      <c r="E42" s="56">
        <v>1.83</v>
      </c>
      <c r="F42" s="57">
        <v>1.83</v>
      </c>
      <c r="G42" s="58"/>
    </row>
    <row r="43" spans="1:7" ht="18" hidden="1" x14ac:dyDescent="0.4">
      <c r="A43" s="14" t="s">
        <v>18</v>
      </c>
      <c r="B43" s="15" t="s">
        <v>27</v>
      </c>
      <c r="C43" s="55">
        <v>25.03</v>
      </c>
      <c r="D43" s="56">
        <v>25.03</v>
      </c>
      <c r="E43" s="56">
        <v>25.03</v>
      </c>
      <c r="F43" s="57">
        <v>25.03</v>
      </c>
      <c r="G43" s="58"/>
    </row>
    <row r="44" spans="1:7" ht="18" hidden="1" x14ac:dyDescent="0.4">
      <c r="A44" s="14" t="s">
        <v>19</v>
      </c>
      <c r="B44" s="15" t="s">
        <v>27</v>
      </c>
      <c r="C44" s="55">
        <v>69.319999999999993</v>
      </c>
      <c r="D44" s="56">
        <v>69.319999999999993</v>
      </c>
      <c r="E44" s="56">
        <v>69.319999999999993</v>
      </c>
      <c r="F44" s="57">
        <v>69.319999999999993</v>
      </c>
      <c r="G44" s="58"/>
    </row>
    <row r="45" spans="1:7" ht="18.75" hidden="1" thickBot="1" x14ac:dyDescent="0.45">
      <c r="A45" s="27" t="s">
        <v>20</v>
      </c>
      <c r="B45" s="28" t="s">
        <v>27</v>
      </c>
      <c r="C45" s="59">
        <v>5.15</v>
      </c>
      <c r="D45" s="60">
        <v>5.15</v>
      </c>
      <c r="E45" s="60">
        <v>5.15</v>
      </c>
      <c r="F45" s="61">
        <v>5.15</v>
      </c>
      <c r="G45" s="58"/>
    </row>
    <row r="46" spans="1:7" ht="18.75" hidden="1" thickBot="1" x14ac:dyDescent="0.45">
      <c r="A46" s="34" t="s">
        <v>37</v>
      </c>
      <c r="B46" s="39" t="s">
        <v>27</v>
      </c>
      <c r="C46" s="41">
        <f>SUM(C26:C45)</f>
        <v>309.08</v>
      </c>
      <c r="D46" s="37">
        <f t="shared" ref="D46" si="3">SUM(D26:D45)</f>
        <v>309.08</v>
      </c>
      <c r="E46" s="37">
        <f t="shared" ref="E46" si="4">SUM(E26:E45)</f>
        <v>309.08</v>
      </c>
      <c r="F46" s="42">
        <f t="shared" ref="F46" si="5">SUM(F26:F45)</f>
        <v>309.08</v>
      </c>
      <c r="G46" s="36"/>
    </row>
    <row r="47" spans="1:7" ht="18.75" hidden="1" thickBot="1" x14ac:dyDescent="0.45">
      <c r="A47" s="34" t="s">
        <v>40</v>
      </c>
      <c r="B47" s="39" t="s">
        <v>27</v>
      </c>
      <c r="C47" s="41">
        <f>AVERAGE(C26:C45)</f>
        <v>15.453999999999999</v>
      </c>
      <c r="D47" s="37">
        <f t="shared" ref="D47:F47" si="6">AVERAGE(D26:D45)</f>
        <v>15.453999999999999</v>
      </c>
      <c r="E47" s="37">
        <f t="shared" si="6"/>
        <v>15.453999999999999</v>
      </c>
      <c r="F47" s="42">
        <f t="shared" si="6"/>
        <v>15.453999999999999</v>
      </c>
      <c r="G47" s="36"/>
    </row>
    <row r="48" spans="1:7" ht="18.75" hidden="1" thickBot="1" x14ac:dyDescent="0.45">
      <c r="A48" s="35" t="s">
        <v>41</v>
      </c>
      <c r="B48" s="40" t="s">
        <v>27</v>
      </c>
      <c r="C48" s="52">
        <f>MEDIAN(C26:C45)</f>
        <v>7.2450000000000001</v>
      </c>
      <c r="D48" s="53">
        <f t="shared" ref="D48:F48" si="7">MEDIAN(D26:D45)</f>
        <v>7.2450000000000001</v>
      </c>
      <c r="E48" s="53">
        <f t="shared" si="7"/>
        <v>7.2450000000000001</v>
      </c>
      <c r="F48" s="54">
        <f t="shared" si="7"/>
        <v>7.2450000000000001</v>
      </c>
      <c r="G48" s="36"/>
    </row>
    <row r="49" spans="1:7" ht="18" hidden="1" x14ac:dyDescent="0.4">
      <c r="A49" s="25" t="s">
        <v>1</v>
      </c>
      <c r="B49" s="26" t="s">
        <v>23</v>
      </c>
      <c r="C49" s="62">
        <f>C3/C26</f>
        <v>7618.2051282051279</v>
      </c>
      <c r="D49" s="63">
        <f>D3/D26</f>
        <v>7602.3076923076924</v>
      </c>
      <c r="E49" s="63">
        <f t="shared" ref="E49:F49" si="8">E3/E26</f>
        <v>7573.5897435897441</v>
      </c>
      <c r="F49" s="64">
        <f t="shared" si="8"/>
        <v>7647.4358974358975</v>
      </c>
      <c r="G49" s="58"/>
    </row>
    <row r="50" spans="1:7" ht="18" hidden="1" x14ac:dyDescent="0.4">
      <c r="A50" s="14" t="s">
        <v>2</v>
      </c>
      <c r="B50" s="15" t="s">
        <v>23</v>
      </c>
      <c r="C50" s="55">
        <f t="shared" ref="C50:F68" si="9">C4/C27</f>
        <v>2249.2537313432836</v>
      </c>
      <c r="D50" s="56">
        <f t="shared" si="9"/>
        <v>2258.616010854817</v>
      </c>
      <c r="E50" s="56">
        <f t="shared" si="9"/>
        <v>2285.61736770692</v>
      </c>
      <c r="F50" s="57">
        <f t="shared" si="9"/>
        <v>2309.9050203527813</v>
      </c>
      <c r="G50" s="58"/>
    </row>
    <row r="51" spans="1:7" ht="18" hidden="1" x14ac:dyDescent="0.4">
      <c r="A51" s="14" t="s">
        <v>3</v>
      </c>
      <c r="B51" s="15" t="s">
        <v>23</v>
      </c>
      <c r="C51" s="55">
        <f t="shared" si="9"/>
        <v>1131.6315205327414</v>
      </c>
      <c r="D51" s="56">
        <f t="shared" si="9"/>
        <v>1139.4006659267482</v>
      </c>
      <c r="E51" s="56">
        <f t="shared" si="9"/>
        <v>1153.8290788013319</v>
      </c>
      <c r="F51" s="57">
        <f t="shared" si="9"/>
        <v>1173.6958934517204</v>
      </c>
      <c r="G51" s="58"/>
    </row>
    <row r="52" spans="1:7" ht="18" hidden="1" x14ac:dyDescent="0.4">
      <c r="A52" s="14" t="s">
        <v>4</v>
      </c>
      <c r="B52" s="15" t="s">
        <v>23</v>
      </c>
      <c r="C52" s="55">
        <f t="shared" si="9"/>
        <v>2006.4797507788162</v>
      </c>
      <c r="D52" s="56">
        <f t="shared" si="9"/>
        <v>2013.2710280373831</v>
      </c>
      <c r="E52" s="56">
        <f t="shared" si="9"/>
        <v>2034.6417445482866</v>
      </c>
      <c r="F52" s="57">
        <f t="shared" si="9"/>
        <v>2079.5015576323985</v>
      </c>
      <c r="G52" s="58"/>
    </row>
    <row r="53" spans="1:7" ht="18" hidden="1" x14ac:dyDescent="0.4">
      <c r="A53" s="14" t="s">
        <v>5</v>
      </c>
      <c r="B53" s="15" t="s">
        <v>23</v>
      </c>
      <c r="C53" s="55">
        <f t="shared" si="9"/>
        <v>2171.7821782178216</v>
      </c>
      <c r="D53" s="56">
        <f t="shared" si="9"/>
        <v>2120.2970297029706</v>
      </c>
      <c r="E53" s="56">
        <f t="shared" si="9"/>
        <v>2126.7326732673268</v>
      </c>
      <c r="F53" s="57">
        <f t="shared" si="9"/>
        <v>2166.2376237623762</v>
      </c>
      <c r="G53" s="58"/>
    </row>
    <row r="54" spans="1:7" ht="18" hidden="1" x14ac:dyDescent="0.4">
      <c r="A54" s="14" t="s">
        <v>6</v>
      </c>
      <c r="B54" s="15" t="s">
        <v>23</v>
      </c>
      <c r="C54" s="55">
        <f t="shared" si="9"/>
        <v>19230.76923076923</v>
      </c>
      <c r="D54" s="56">
        <f t="shared" si="9"/>
        <v>19782.051282051281</v>
      </c>
      <c r="E54" s="56">
        <f t="shared" si="9"/>
        <v>19862.820512820512</v>
      </c>
      <c r="F54" s="57">
        <f t="shared" si="9"/>
        <v>22921.794871794871</v>
      </c>
      <c r="G54" s="58"/>
    </row>
    <row r="55" spans="1:7" ht="18" hidden="1" x14ac:dyDescent="0.4">
      <c r="A55" s="14" t="s">
        <v>7</v>
      </c>
      <c r="B55" s="15" t="s">
        <v>23</v>
      </c>
      <c r="C55" s="55">
        <f t="shared" si="9"/>
        <v>547.55434782608688</v>
      </c>
      <c r="D55" s="56">
        <f t="shared" si="9"/>
        <v>550</v>
      </c>
      <c r="E55" s="56">
        <f t="shared" si="9"/>
        <v>548.91304347826087</v>
      </c>
      <c r="F55" s="57">
        <f t="shared" si="9"/>
        <v>563.58695652173913</v>
      </c>
      <c r="G55" s="58"/>
    </row>
    <row r="56" spans="1:7" ht="18" hidden="1" x14ac:dyDescent="0.4">
      <c r="A56" s="14" t="s">
        <v>8</v>
      </c>
      <c r="B56" s="15" t="s">
        <v>23</v>
      </c>
      <c r="C56" s="55">
        <f t="shared" si="9"/>
        <v>2193.8650306748468</v>
      </c>
      <c r="D56" s="56">
        <f t="shared" si="9"/>
        <v>2186.2730061349694</v>
      </c>
      <c r="E56" s="56">
        <f t="shared" si="9"/>
        <v>2199.3098159509204</v>
      </c>
      <c r="F56" s="57">
        <f t="shared" si="9"/>
        <v>2248.159509202454</v>
      </c>
      <c r="G56" s="58"/>
    </row>
    <row r="57" spans="1:7" ht="18" hidden="1" x14ac:dyDescent="0.4">
      <c r="A57" s="14" t="s">
        <v>9</v>
      </c>
      <c r="B57" s="15" t="s">
        <v>23</v>
      </c>
      <c r="C57" s="55">
        <f t="shared" si="9"/>
        <v>2950</v>
      </c>
      <c r="D57" s="56">
        <f t="shared" si="9"/>
        <v>3100</v>
      </c>
      <c r="E57" s="56">
        <f t="shared" si="9"/>
        <v>2725</v>
      </c>
      <c r="F57" s="57">
        <f t="shared" si="9"/>
        <v>3100</v>
      </c>
      <c r="G57" s="58"/>
    </row>
    <row r="58" spans="1:7" ht="18" hidden="1" x14ac:dyDescent="0.4">
      <c r="A58" s="14" t="s">
        <v>10</v>
      </c>
      <c r="B58" s="15" t="s">
        <v>23</v>
      </c>
      <c r="C58" s="55">
        <f t="shared" si="9"/>
        <v>1589.8218829516541</v>
      </c>
      <c r="D58" s="56">
        <f t="shared" si="9"/>
        <v>1592.2137404580153</v>
      </c>
      <c r="E58" s="56">
        <f t="shared" si="9"/>
        <v>1586.259541984733</v>
      </c>
      <c r="F58" s="57">
        <f t="shared" si="9"/>
        <v>1606.7684478371502</v>
      </c>
      <c r="G58" s="58"/>
    </row>
    <row r="59" spans="1:7" ht="18" hidden="1" x14ac:dyDescent="0.4">
      <c r="A59" s="14" t="s">
        <v>11</v>
      </c>
      <c r="B59" s="15" t="s">
        <v>23</v>
      </c>
      <c r="C59" s="55">
        <f t="shared" si="9"/>
        <v>1749.9105545617174</v>
      </c>
      <c r="D59" s="56">
        <f t="shared" si="9"/>
        <v>1761.180679785331</v>
      </c>
      <c r="E59" s="56">
        <f t="shared" si="9"/>
        <v>1776.2075134168158</v>
      </c>
      <c r="F59" s="57">
        <f t="shared" si="9"/>
        <v>1815.0268336314848</v>
      </c>
      <c r="G59" s="58"/>
    </row>
    <row r="60" spans="1:7" ht="18" hidden="1" x14ac:dyDescent="0.4">
      <c r="A60" s="14" t="s">
        <v>12</v>
      </c>
      <c r="B60" s="15" t="s">
        <v>23</v>
      </c>
      <c r="C60" s="55">
        <f t="shared" si="9"/>
        <v>21514.563106796115</v>
      </c>
      <c r="D60" s="56">
        <f t="shared" si="9"/>
        <v>21514.563106796115</v>
      </c>
      <c r="E60" s="56">
        <f t="shared" si="9"/>
        <v>21496.11650485437</v>
      </c>
      <c r="F60" s="57">
        <f t="shared" si="9"/>
        <v>22157.281553398057</v>
      </c>
      <c r="G60" s="58"/>
    </row>
    <row r="61" spans="1:7" ht="18" hidden="1" x14ac:dyDescent="0.4">
      <c r="A61" s="14" t="s">
        <v>13</v>
      </c>
      <c r="B61" s="15" t="s">
        <v>23</v>
      </c>
      <c r="C61" s="55">
        <f t="shared" si="9"/>
        <v>6746.5648854961828</v>
      </c>
      <c r="D61" s="56">
        <f t="shared" si="9"/>
        <v>6717.8117048346057</v>
      </c>
      <c r="E61" s="56">
        <f t="shared" si="9"/>
        <v>6760.0508905852412</v>
      </c>
      <c r="F61" s="57">
        <f t="shared" si="9"/>
        <v>6917.048346055979</v>
      </c>
      <c r="G61" s="58"/>
    </row>
    <row r="62" spans="1:7" ht="18" hidden="1" x14ac:dyDescent="0.4">
      <c r="A62" s="14" t="s">
        <v>14</v>
      </c>
      <c r="B62" s="15" t="s">
        <v>23</v>
      </c>
      <c r="C62" s="55">
        <f t="shared" si="9"/>
        <v>1630.056179775281</v>
      </c>
      <c r="D62" s="56">
        <f t="shared" si="9"/>
        <v>1642.1348314606741</v>
      </c>
      <c r="E62" s="56">
        <f t="shared" si="9"/>
        <v>1638.3426966292134</v>
      </c>
      <c r="F62" s="57">
        <f t="shared" si="9"/>
        <v>1651.685393258427</v>
      </c>
      <c r="G62" s="58"/>
    </row>
    <row r="63" spans="1:7" ht="18" hidden="1" x14ac:dyDescent="0.4">
      <c r="A63" s="14" t="s">
        <v>15</v>
      </c>
      <c r="B63" s="15" t="s">
        <v>23</v>
      </c>
      <c r="C63" s="55">
        <f t="shared" si="9"/>
        <v>247.84939969693437</v>
      </c>
      <c r="D63" s="56">
        <f t="shared" si="9"/>
        <v>250.46042662314954</v>
      </c>
      <c r="E63" s="56">
        <f t="shared" si="9"/>
        <v>253.65427205968061</v>
      </c>
      <c r="F63" s="57">
        <f t="shared" si="9"/>
        <v>259.19104790768154</v>
      </c>
      <c r="G63" s="58"/>
    </row>
    <row r="64" spans="1:7" ht="18" hidden="1" x14ac:dyDescent="0.4">
      <c r="A64" s="14" t="s">
        <v>16</v>
      </c>
      <c r="B64" s="15" t="s">
        <v>23</v>
      </c>
      <c r="C64" s="55">
        <f t="shared" si="9"/>
        <v>1276.0692464358451</v>
      </c>
      <c r="D64" s="56">
        <f t="shared" si="9"/>
        <v>1274.6945010183299</v>
      </c>
      <c r="E64" s="56">
        <f t="shared" si="9"/>
        <v>1281.4154786150712</v>
      </c>
      <c r="F64" s="57">
        <f t="shared" si="9"/>
        <v>1302.9531568228106</v>
      </c>
      <c r="G64" s="58"/>
    </row>
    <row r="65" spans="1:7" ht="18" hidden="1" x14ac:dyDescent="0.4">
      <c r="A65" s="14" t="s">
        <v>17</v>
      </c>
      <c r="B65" s="51" t="s">
        <v>23</v>
      </c>
      <c r="C65" s="55">
        <f t="shared" si="9"/>
        <v>5678.1420765027324</v>
      </c>
      <c r="D65" s="56">
        <f t="shared" si="9"/>
        <v>5652.4590163934427</v>
      </c>
      <c r="E65" s="56">
        <f t="shared" si="9"/>
        <v>5655.1912568306007</v>
      </c>
      <c r="F65" s="57">
        <f t="shared" si="9"/>
        <v>5812.5683060109286</v>
      </c>
      <c r="G65" s="58"/>
    </row>
    <row r="66" spans="1:7" ht="18" hidden="1" x14ac:dyDescent="0.4">
      <c r="A66" s="14" t="s">
        <v>18</v>
      </c>
      <c r="B66" s="15" t="s">
        <v>23</v>
      </c>
      <c r="C66" s="55">
        <f t="shared" si="9"/>
        <v>762.20535357570907</v>
      </c>
      <c r="D66" s="56">
        <f t="shared" si="9"/>
        <v>767.51897722732713</v>
      </c>
      <c r="E66" s="56">
        <f t="shared" si="9"/>
        <v>770.99480623252089</v>
      </c>
      <c r="F66" s="57">
        <f t="shared" si="9"/>
        <v>786.37634838194163</v>
      </c>
      <c r="G66" s="58"/>
    </row>
    <row r="67" spans="1:7" ht="18" hidden="1" x14ac:dyDescent="0.4">
      <c r="A67" s="14" t="s">
        <v>19</v>
      </c>
      <c r="B67" s="15" t="s">
        <v>23</v>
      </c>
      <c r="C67" s="55">
        <f t="shared" si="9"/>
        <v>1211.2233121754184</v>
      </c>
      <c r="D67" s="56">
        <f t="shared" si="9"/>
        <v>1212.1321407963071</v>
      </c>
      <c r="E67" s="56">
        <f t="shared" si="9"/>
        <v>1228.2458165031737</v>
      </c>
      <c r="F67" s="57">
        <f t="shared" si="9"/>
        <v>1259.3046739757647</v>
      </c>
      <c r="G67" s="58"/>
    </row>
    <row r="68" spans="1:7" ht="18.75" hidden="1" thickBot="1" x14ac:dyDescent="0.45">
      <c r="A68" s="27" t="s">
        <v>20</v>
      </c>
      <c r="B68" s="15" t="s">
        <v>23</v>
      </c>
      <c r="C68" s="59">
        <f t="shared" si="9"/>
        <v>5863.4951456310673</v>
      </c>
      <c r="D68" s="60">
        <f t="shared" si="9"/>
        <v>5865.6310679611643</v>
      </c>
      <c r="E68" s="60">
        <f t="shared" si="9"/>
        <v>5888.5436893203878</v>
      </c>
      <c r="F68" s="61">
        <f t="shared" si="9"/>
        <v>5970.6796116504847</v>
      </c>
      <c r="G68" s="58"/>
    </row>
    <row r="69" spans="1:7" ht="18.75" hidden="1" thickBot="1" x14ac:dyDescent="0.45">
      <c r="A69" s="34" t="s">
        <v>38</v>
      </c>
      <c r="B69" s="49" t="s">
        <v>23</v>
      </c>
      <c r="C69" s="65"/>
      <c r="D69" s="66"/>
      <c r="E69" s="66"/>
      <c r="F69" s="67"/>
      <c r="G69" s="36"/>
    </row>
    <row r="70" spans="1:7" ht="18.75" hidden="1" thickBot="1" x14ac:dyDescent="0.45">
      <c r="A70" s="34" t="s">
        <v>40</v>
      </c>
      <c r="B70" s="49" t="s">
        <v>23</v>
      </c>
      <c r="C70" s="41">
        <f>AVERAGE(C49:C68)</f>
        <v>4418.4721030973305</v>
      </c>
      <c r="D70" s="37">
        <f t="shared" ref="D70:F70" si="10">AVERAGE(D49:D68)</f>
        <v>4450.1508454185159</v>
      </c>
      <c r="E70" s="37">
        <f t="shared" si="10"/>
        <v>4442.2738223597562</v>
      </c>
      <c r="F70" s="42">
        <f t="shared" si="10"/>
        <v>4687.4600524542466</v>
      </c>
      <c r="G70" s="36"/>
    </row>
    <row r="71" spans="1:7" ht="18.75" hidden="1" thickBot="1" x14ac:dyDescent="0.45">
      <c r="A71" s="35" t="s">
        <v>41</v>
      </c>
      <c r="B71" s="50" t="s">
        <v>23</v>
      </c>
      <c r="C71" s="41">
        <f>MEDIAN(C49:C68)</f>
        <v>2089.1309644983189</v>
      </c>
      <c r="D71" s="37">
        <f t="shared" ref="D71:F71" si="11">MEDIAN(D49:D68)</f>
        <v>2066.7840288701768</v>
      </c>
      <c r="E71" s="37">
        <f t="shared" si="11"/>
        <v>2080.687208907807</v>
      </c>
      <c r="F71" s="42">
        <f t="shared" si="11"/>
        <v>2122.8695906973871</v>
      </c>
      <c r="G71" s="36"/>
    </row>
    <row r="72" spans="1:7" ht="18" hidden="1" x14ac:dyDescent="0.4">
      <c r="A72" s="25" t="s">
        <v>1</v>
      </c>
      <c r="B72" s="15" t="s">
        <v>28</v>
      </c>
      <c r="C72" s="89">
        <v>22305963</v>
      </c>
      <c r="D72" s="90">
        <v>21340745</v>
      </c>
      <c r="E72" s="91">
        <v>21206277</v>
      </c>
      <c r="F72" s="92">
        <v>22570836</v>
      </c>
      <c r="G72" s="58"/>
    </row>
    <row r="73" spans="1:7" ht="18" hidden="1" x14ac:dyDescent="0.4">
      <c r="A73" s="14" t="s">
        <v>2</v>
      </c>
      <c r="B73" s="15" t="s">
        <v>28</v>
      </c>
      <c r="C73" s="93">
        <v>10763473</v>
      </c>
      <c r="D73" s="94">
        <v>11383298</v>
      </c>
      <c r="E73" s="94">
        <v>11474619</v>
      </c>
      <c r="F73" s="95">
        <v>12025309</v>
      </c>
      <c r="G73" s="58"/>
    </row>
    <row r="74" spans="1:7" ht="18" hidden="1" x14ac:dyDescent="0.4">
      <c r="A74" s="14" t="s">
        <v>3</v>
      </c>
      <c r="B74" s="15" t="s">
        <v>28</v>
      </c>
      <c r="C74" s="93">
        <v>6759254</v>
      </c>
      <c r="D74" s="94">
        <v>7311585</v>
      </c>
      <c r="E74" s="94">
        <v>7611974</v>
      </c>
      <c r="F74" s="95">
        <v>8311292</v>
      </c>
      <c r="G74" s="58"/>
    </row>
    <row r="75" spans="1:7" ht="18" hidden="1" x14ac:dyDescent="0.4">
      <c r="A75" s="14" t="s">
        <v>4</v>
      </c>
      <c r="B75" s="15" t="s">
        <v>28</v>
      </c>
      <c r="C75" s="93">
        <v>24500000</v>
      </c>
      <c r="D75" s="94">
        <v>25229548</v>
      </c>
      <c r="E75" s="94">
        <v>25800000</v>
      </c>
      <c r="F75" s="95">
        <v>26200000</v>
      </c>
      <c r="G75" s="58"/>
    </row>
    <row r="76" spans="1:7" ht="18" hidden="1" x14ac:dyDescent="0.4">
      <c r="A76" s="14" t="s">
        <v>5</v>
      </c>
      <c r="B76" s="15" t="s">
        <v>28</v>
      </c>
      <c r="C76" s="93">
        <v>17683962</v>
      </c>
      <c r="D76" s="94">
        <v>17181254</v>
      </c>
      <c r="E76" s="94">
        <v>18293046</v>
      </c>
      <c r="F76" s="95">
        <v>19839177</v>
      </c>
      <c r="G76" s="58"/>
    </row>
    <row r="77" spans="1:7" ht="18" hidden="1" x14ac:dyDescent="0.4">
      <c r="A77" s="14" t="s">
        <v>6</v>
      </c>
      <c r="B77" s="15" t="s">
        <v>28</v>
      </c>
      <c r="C77" s="93">
        <v>12415712</v>
      </c>
      <c r="D77" s="94">
        <v>12735566</v>
      </c>
      <c r="E77" s="94">
        <v>12095145</v>
      </c>
      <c r="F77" s="95">
        <v>13919979</v>
      </c>
      <c r="G77" s="58"/>
    </row>
    <row r="78" spans="1:7" ht="18" hidden="1" x14ac:dyDescent="0.4">
      <c r="A78" s="14" t="s">
        <v>7</v>
      </c>
      <c r="B78" s="15" t="s">
        <v>28</v>
      </c>
      <c r="C78" s="93">
        <v>3714764</v>
      </c>
      <c r="D78" s="94">
        <v>3790500</v>
      </c>
      <c r="E78" s="94">
        <v>3779000</v>
      </c>
      <c r="F78" s="95">
        <v>3930000</v>
      </c>
      <c r="G78" s="58"/>
    </row>
    <row r="79" spans="1:7" ht="18" hidden="1" x14ac:dyDescent="0.4">
      <c r="A79" s="14" t="s">
        <v>8</v>
      </c>
      <c r="B79" s="15" t="s">
        <v>28</v>
      </c>
      <c r="C79" s="93">
        <v>19798558</v>
      </c>
      <c r="D79" s="94">
        <v>19235348</v>
      </c>
      <c r="E79" s="94">
        <v>21217434</v>
      </c>
      <c r="F79" s="95">
        <v>23315058</v>
      </c>
      <c r="G79" s="58"/>
    </row>
    <row r="80" spans="1:7" ht="18" hidden="1" x14ac:dyDescent="0.4">
      <c r="A80" s="14" t="s">
        <v>9</v>
      </c>
      <c r="B80" s="15" t="s">
        <v>28</v>
      </c>
      <c r="C80" s="93">
        <v>87771</v>
      </c>
      <c r="D80" s="94">
        <v>131950</v>
      </c>
      <c r="E80" s="94">
        <v>138024</v>
      </c>
      <c r="F80" s="95">
        <v>142560</v>
      </c>
      <c r="G80" s="58"/>
    </row>
    <row r="81" spans="1:7" ht="18" hidden="1" x14ac:dyDescent="0.4">
      <c r="A81" s="14" t="s">
        <v>10</v>
      </c>
      <c r="B81" s="15" t="s">
        <v>28</v>
      </c>
      <c r="C81" s="93">
        <v>25708000</v>
      </c>
      <c r="D81" s="94">
        <v>28160000</v>
      </c>
      <c r="E81" s="94">
        <v>28480000</v>
      </c>
      <c r="F81" s="95">
        <v>29120000</v>
      </c>
      <c r="G81" s="58"/>
    </row>
    <row r="82" spans="1:7" ht="18" hidden="1" x14ac:dyDescent="0.4">
      <c r="A82" s="14" t="s">
        <v>11</v>
      </c>
      <c r="B82" s="15" t="s">
        <v>28</v>
      </c>
      <c r="C82" s="93">
        <v>9100257</v>
      </c>
      <c r="D82" s="94">
        <v>9350560</v>
      </c>
      <c r="E82" s="94">
        <v>10653736</v>
      </c>
      <c r="F82" s="95">
        <v>11965929</v>
      </c>
      <c r="G82" s="58"/>
    </row>
    <row r="83" spans="1:7" ht="18" hidden="1" x14ac:dyDescent="0.4">
      <c r="A83" s="14" t="s">
        <v>12</v>
      </c>
      <c r="B83" s="15" t="s">
        <v>28</v>
      </c>
      <c r="C83" s="93">
        <v>30330310</v>
      </c>
      <c r="D83" s="94">
        <v>34725216</v>
      </c>
      <c r="E83" s="94">
        <v>36428705</v>
      </c>
      <c r="F83" s="95">
        <v>38658071</v>
      </c>
      <c r="G83" s="58"/>
    </row>
    <row r="84" spans="1:7" ht="18" hidden="1" x14ac:dyDescent="0.4">
      <c r="A84" s="14" t="s">
        <v>13</v>
      </c>
      <c r="B84" s="15" t="s">
        <v>28</v>
      </c>
      <c r="C84" s="93">
        <v>15900295</v>
      </c>
      <c r="D84" s="94">
        <v>17502371</v>
      </c>
      <c r="E84" s="94">
        <v>16917261</v>
      </c>
      <c r="F84" s="95">
        <v>20855643</v>
      </c>
      <c r="G84" s="58"/>
    </row>
    <row r="85" spans="1:7" ht="18" hidden="1" x14ac:dyDescent="0.4">
      <c r="A85" s="14" t="s">
        <v>14</v>
      </c>
      <c r="B85" s="15" t="s">
        <v>28</v>
      </c>
      <c r="C85" s="93">
        <v>10082544</v>
      </c>
      <c r="D85" s="94">
        <v>11802105</v>
      </c>
      <c r="E85" s="94">
        <v>13936270</v>
      </c>
      <c r="F85" s="95">
        <v>12756417</v>
      </c>
      <c r="G85" s="58"/>
    </row>
    <row r="86" spans="1:7" ht="18" hidden="1" x14ac:dyDescent="0.4">
      <c r="A86" s="14" t="s">
        <v>15</v>
      </c>
      <c r="B86" s="15" t="s">
        <v>28</v>
      </c>
      <c r="C86" s="93">
        <v>16541830</v>
      </c>
      <c r="D86" s="94">
        <v>18007304</v>
      </c>
      <c r="E86" s="94">
        <v>18481792</v>
      </c>
      <c r="F86" s="95">
        <v>21512220</v>
      </c>
      <c r="G86" s="58"/>
    </row>
    <row r="87" spans="1:7" ht="18" hidden="1" x14ac:dyDescent="0.4">
      <c r="A87" s="14" t="s">
        <v>16</v>
      </c>
      <c r="B87" s="15" t="s">
        <v>28</v>
      </c>
      <c r="C87" s="93">
        <v>30511574</v>
      </c>
      <c r="D87" s="94">
        <v>32121770</v>
      </c>
      <c r="E87" s="94">
        <v>31700000</v>
      </c>
      <c r="F87" s="95">
        <v>34126000</v>
      </c>
      <c r="G87" s="58"/>
    </row>
    <row r="88" spans="1:7" ht="18" hidden="1" x14ac:dyDescent="0.4">
      <c r="A88" s="14" t="s">
        <v>17</v>
      </c>
      <c r="B88" s="15" t="s">
        <v>28</v>
      </c>
      <c r="C88" s="93">
        <v>7179475</v>
      </c>
      <c r="D88" s="94">
        <v>7061831</v>
      </c>
      <c r="E88" s="94">
        <v>7823729</v>
      </c>
      <c r="F88" s="95">
        <v>7499629</v>
      </c>
      <c r="G88" s="58"/>
    </row>
    <row r="89" spans="1:7" ht="18" hidden="1" x14ac:dyDescent="0.4">
      <c r="A89" s="14" t="s">
        <v>18</v>
      </c>
      <c r="B89" s="15" t="s">
        <v>28</v>
      </c>
      <c r="C89" s="93">
        <v>13465862</v>
      </c>
      <c r="D89" s="94">
        <v>13485011</v>
      </c>
      <c r="E89" s="94">
        <v>14652518</v>
      </c>
      <c r="F89" s="95">
        <v>15519001</v>
      </c>
      <c r="G89" s="58"/>
    </row>
    <row r="90" spans="1:7" ht="18" hidden="1" x14ac:dyDescent="0.4">
      <c r="A90" s="14" t="s">
        <v>19</v>
      </c>
      <c r="B90" s="15" t="s">
        <v>28</v>
      </c>
      <c r="C90" s="93">
        <v>59550000</v>
      </c>
      <c r="D90" s="94">
        <v>56800000</v>
      </c>
      <c r="E90" s="94">
        <v>67550000</v>
      </c>
      <c r="F90" s="95">
        <v>65950000</v>
      </c>
      <c r="G90" s="58"/>
    </row>
    <row r="91" spans="1:7" ht="18.75" hidden="1" thickBot="1" x14ac:dyDescent="0.45">
      <c r="A91" s="27" t="s">
        <v>20</v>
      </c>
      <c r="B91" s="15" t="s">
        <v>28</v>
      </c>
      <c r="C91" s="115">
        <v>19492009</v>
      </c>
      <c r="D91" s="116">
        <v>19485448</v>
      </c>
      <c r="E91" s="116">
        <v>21345395</v>
      </c>
      <c r="F91" s="117">
        <v>21753212</v>
      </c>
      <c r="G91" s="58"/>
    </row>
    <row r="92" spans="1:7" ht="18.75" hidden="1" thickBot="1" x14ac:dyDescent="0.45">
      <c r="A92" s="34" t="s">
        <v>39</v>
      </c>
      <c r="B92" s="49" t="s">
        <v>28</v>
      </c>
      <c r="C92" s="41">
        <f>SUM(C72:C91)</f>
        <v>355891613</v>
      </c>
      <c r="D92" s="37">
        <f t="shared" ref="D92:F92" si="12">SUM(D72:D91)</f>
        <v>366841410</v>
      </c>
      <c r="E92" s="37">
        <f t="shared" si="12"/>
        <v>389584925</v>
      </c>
      <c r="F92" s="42">
        <f t="shared" si="12"/>
        <v>409970333</v>
      </c>
      <c r="G92" s="36"/>
    </row>
    <row r="93" spans="1:7" ht="18.75" hidden="1" thickBot="1" x14ac:dyDescent="0.45">
      <c r="A93" s="34" t="s">
        <v>40</v>
      </c>
      <c r="B93" s="49" t="s">
        <v>28</v>
      </c>
      <c r="C93" s="43">
        <f>AVERAGE(C72:C91)</f>
        <v>17794580.649999999</v>
      </c>
      <c r="D93" s="38">
        <f t="shared" ref="D93:F93" si="13">AVERAGE(D72:D91)</f>
        <v>18342070.5</v>
      </c>
      <c r="E93" s="38">
        <f t="shared" si="13"/>
        <v>19479246.25</v>
      </c>
      <c r="F93" s="44">
        <f t="shared" si="13"/>
        <v>20498516.649999999</v>
      </c>
      <c r="G93" s="36"/>
    </row>
    <row r="94" spans="1:7" ht="18.75" hidden="1" thickBot="1" x14ac:dyDescent="0.45">
      <c r="A94" s="72" t="s">
        <v>41</v>
      </c>
      <c r="B94" s="71" t="s">
        <v>28</v>
      </c>
      <c r="C94" s="41">
        <f>MEDIAN(C72:C91)</f>
        <v>16221062.5</v>
      </c>
      <c r="D94" s="37">
        <f t="shared" ref="D94:F94" si="14">MEDIAN(D72:D91)</f>
        <v>17341812.5</v>
      </c>
      <c r="E94" s="37">
        <f t="shared" si="14"/>
        <v>17605153.5</v>
      </c>
      <c r="F94" s="42">
        <f t="shared" si="14"/>
        <v>20347410</v>
      </c>
      <c r="G94" s="36"/>
    </row>
    <row r="95" spans="1:7" ht="20.25" hidden="1" x14ac:dyDescent="0.45">
      <c r="A95" s="68" t="s">
        <v>1</v>
      </c>
      <c r="B95" s="76" t="s">
        <v>29</v>
      </c>
      <c r="C95" s="81">
        <v>3.8E-3</v>
      </c>
      <c r="D95" s="82">
        <v>3.5000000000000001E-3</v>
      </c>
      <c r="E95" s="96">
        <v>0</v>
      </c>
      <c r="F95" s="83">
        <v>1.5699999999999999E-2</v>
      </c>
      <c r="G95" s="58"/>
    </row>
    <row r="96" spans="1:7" ht="20.25" hidden="1" x14ac:dyDescent="0.45">
      <c r="A96" s="69" t="s">
        <v>2</v>
      </c>
      <c r="B96" s="77" t="s">
        <v>29</v>
      </c>
      <c r="C96" s="85">
        <v>0</v>
      </c>
      <c r="D96" s="80">
        <v>0</v>
      </c>
      <c r="E96" s="80">
        <v>0</v>
      </c>
      <c r="F96" s="97">
        <v>0</v>
      </c>
      <c r="G96" s="58"/>
    </row>
    <row r="97" spans="1:7" ht="20.25" hidden="1" x14ac:dyDescent="0.45">
      <c r="A97" s="69" t="s">
        <v>3</v>
      </c>
      <c r="B97" s="77" t="s">
        <v>29</v>
      </c>
      <c r="C97" s="85">
        <v>0</v>
      </c>
      <c r="D97" s="80">
        <v>0</v>
      </c>
      <c r="E97" s="80">
        <v>0.2</v>
      </c>
      <c r="F97" s="97">
        <v>0</v>
      </c>
      <c r="G97" s="58"/>
    </row>
    <row r="98" spans="1:7" ht="20.25" hidden="1" x14ac:dyDescent="0.45">
      <c r="A98" s="69" t="s">
        <v>4</v>
      </c>
      <c r="B98" s="77" t="s">
        <v>29</v>
      </c>
      <c r="C98" s="86">
        <v>5.7000000000000002E-3</v>
      </c>
      <c r="D98" s="79">
        <v>2.5399999999999999E-2</v>
      </c>
      <c r="E98" s="79">
        <v>5.7000000000000002E-3</v>
      </c>
      <c r="F98" s="97">
        <v>0</v>
      </c>
      <c r="G98" s="58"/>
    </row>
    <row r="99" spans="1:7" ht="20.25" hidden="1" x14ac:dyDescent="0.45">
      <c r="A99" s="69" t="s">
        <v>5</v>
      </c>
      <c r="B99" s="77" t="s">
        <v>29</v>
      </c>
      <c r="C99" s="85">
        <v>0</v>
      </c>
      <c r="D99" s="79">
        <v>1.5E-3</v>
      </c>
      <c r="E99" s="80">
        <v>0</v>
      </c>
      <c r="F99" s="97">
        <v>0</v>
      </c>
      <c r="G99" s="58"/>
    </row>
    <row r="100" spans="1:7" ht="20.25" hidden="1" x14ac:dyDescent="0.45">
      <c r="A100" s="69" t="s">
        <v>6</v>
      </c>
      <c r="B100" s="77" t="s">
        <v>29</v>
      </c>
      <c r="C100" s="85">
        <v>0</v>
      </c>
      <c r="D100" s="80">
        <v>0</v>
      </c>
      <c r="E100" s="80">
        <v>0</v>
      </c>
      <c r="F100" s="84">
        <f>5529217.96/F77</f>
        <v>0.39721453315410893</v>
      </c>
      <c r="G100" s="58"/>
    </row>
    <row r="101" spans="1:7" ht="20.25" hidden="1" x14ac:dyDescent="0.45">
      <c r="A101" s="69" t="s">
        <v>7</v>
      </c>
      <c r="B101" s="77" t="s">
        <v>29</v>
      </c>
      <c r="C101" s="85">
        <v>0</v>
      </c>
      <c r="D101" s="80">
        <v>0</v>
      </c>
      <c r="E101" s="80">
        <v>0</v>
      </c>
      <c r="F101" s="97">
        <v>0</v>
      </c>
      <c r="G101" s="58"/>
    </row>
    <row r="102" spans="1:7" ht="20.25" hidden="1" x14ac:dyDescent="0.45">
      <c r="A102" s="69" t="s">
        <v>8</v>
      </c>
      <c r="B102" s="77" t="s">
        <v>29</v>
      </c>
      <c r="C102" s="86">
        <v>8.9999999999999998E-4</v>
      </c>
      <c r="D102" s="80">
        <v>0</v>
      </c>
      <c r="E102" s="79">
        <v>1.6000000000000001E-3</v>
      </c>
      <c r="F102" s="97">
        <v>0</v>
      </c>
      <c r="G102" s="58"/>
    </row>
    <row r="103" spans="1:7" ht="20.25" hidden="1" x14ac:dyDescent="0.45">
      <c r="A103" s="69" t="s">
        <v>9</v>
      </c>
      <c r="B103" s="77" t="s">
        <v>29</v>
      </c>
      <c r="C103" s="85">
        <v>0</v>
      </c>
      <c r="D103" s="80">
        <v>0</v>
      </c>
      <c r="E103" s="80">
        <v>0</v>
      </c>
      <c r="F103" s="97">
        <v>0</v>
      </c>
      <c r="G103" s="58"/>
    </row>
    <row r="104" spans="1:7" ht="20.25" hidden="1" x14ac:dyDescent="0.45">
      <c r="A104" s="69" t="s">
        <v>10</v>
      </c>
      <c r="B104" s="77" t="s">
        <v>29</v>
      </c>
      <c r="C104" s="85">
        <v>0</v>
      </c>
      <c r="D104" s="80">
        <v>0</v>
      </c>
      <c r="E104" s="80">
        <v>0</v>
      </c>
      <c r="F104" s="97">
        <v>0</v>
      </c>
      <c r="G104" s="58"/>
    </row>
    <row r="105" spans="1:7" ht="20.25" hidden="1" x14ac:dyDescent="0.45">
      <c r="A105" s="69" t="s">
        <v>11</v>
      </c>
      <c r="B105" s="77" t="s">
        <v>29</v>
      </c>
      <c r="C105" s="85">
        <v>0</v>
      </c>
      <c r="D105" s="80">
        <v>0</v>
      </c>
      <c r="E105" s="80">
        <v>0</v>
      </c>
      <c r="F105" s="97">
        <v>0</v>
      </c>
      <c r="G105" s="58"/>
    </row>
    <row r="106" spans="1:7" ht="20.25" hidden="1" x14ac:dyDescent="0.45">
      <c r="A106" s="69" t="s">
        <v>12</v>
      </c>
      <c r="B106" s="77" t="s">
        <v>29</v>
      </c>
      <c r="C106" s="85">
        <v>0</v>
      </c>
      <c r="D106" s="80">
        <v>0</v>
      </c>
      <c r="E106" s="80">
        <v>0</v>
      </c>
      <c r="F106" s="97">
        <v>0</v>
      </c>
      <c r="G106" s="58"/>
    </row>
    <row r="107" spans="1:7" ht="20.25" hidden="1" x14ac:dyDescent="0.45">
      <c r="A107" s="69" t="s">
        <v>13</v>
      </c>
      <c r="B107" s="77" t="s">
        <v>29</v>
      </c>
      <c r="C107" s="86">
        <v>1.6400000000000001E-2</v>
      </c>
      <c r="D107" s="79">
        <v>1.6400000000000001E-2</v>
      </c>
      <c r="E107" s="80">
        <v>0</v>
      </c>
      <c r="F107" s="97">
        <v>0</v>
      </c>
      <c r="G107" s="58"/>
    </row>
    <row r="108" spans="1:7" ht="20.25" hidden="1" x14ac:dyDescent="0.45">
      <c r="A108" s="69" t="s">
        <v>14</v>
      </c>
      <c r="B108" s="77" t="s">
        <v>29</v>
      </c>
      <c r="C108" s="85">
        <v>0</v>
      </c>
      <c r="D108" s="80">
        <v>0</v>
      </c>
      <c r="E108" s="80">
        <v>0</v>
      </c>
      <c r="F108" s="97">
        <v>0</v>
      </c>
      <c r="G108" s="58"/>
    </row>
    <row r="109" spans="1:7" ht="20.25" hidden="1" x14ac:dyDescent="0.45">
      <c r="A109" s="69" t="s">
        <v>15</v>
      </c>
      <c r="B109" s="77" t="s">
        <v>29</v>
      </c>
      <c r="C109" s="85">
        <v>0</v>
      </c>
      <c r="D109" s="80">
        <v>0</v>
      </c>
      <c r="E109" s="80">
        <v>0</v>
      </c>
      <c r="F109" s="97">
        <v>0</v>
      </c>
      <c r="G109" s="58"/>
    </row>
    <row r="110" spans="1:7" ht="20.25" hidden="1" x14ac:dyDescent="0.45">
      <c r="A110" s="69" t="s">
        <v>16</v>
      </c>
      <c r="B110" s="77" t="s">
        <v>29</v>
      </c>
      <c r="C110" s="85">
        <v>0</v>
      </c>
      <c r="D110" s="80">
        <v>0</v>
      </c>
      <c r="E110" s="80">
        <v>0</v>
      </c>
      <c r="F110" s="97">
        <v>0</v>
      </c>
      <c r="G110" s="58"/>
    </row>
    <row r="111" spans="1:7" ht="20.25" hidden="1" x14ac:dyDescent="0.45">
      <c r="A111" s="69" t="s">
        <v>17</v>
      </c>
      <c r="B111" s="77" t="s">
        <v>29</v>
      </c>
      <c r="C111" s="85">
        <v>0</v>
      </c>
      <c r="D111" s="80">
        <v>0</v>
      </c>
      <c r="E111" s="80">
        <v>0</v>
      </c>
      <c r="F111" s="97">
        <v>0</v>
      </c>
      <c r="G111" s="58"/>
    </row>
    <row r="112" spans="1:7" ht="20.25" hidden="1" x14ac:dyDescent="0.45">
      <c r="A112" s="69" t="s">
        <v>18</v>
      </c>
      <c r="B112" s="77" t="s">
        <v>29</v>
      </c>
      <c r="C112" s="85">
        <v>0</v>
      </c>
      <c r="D112" s="80">
        <v>0</v>
      </c>
      <c r="E112" s="80">
        <v>2.5000000000000001E-3</v>
      </c>
      <c r="F112" s="84">
        <v>2.5000000000000001E-3</v>
      </c>
      <c r="G112" s="58"/>
    </row>
    <row r="113" spans="1:7" ht="20.25" hidden="1" x14ac:dyDescent="0.45">
      <c r="A113" s="69" t="s">
        <v>19</v>
      </c>
      <c r="B113" s="77" t="s">
        <v>29</v>
      </c>
      <c r="C113" s="86">
        <v>1.1299999999999999E-2</v>
      </c>
      <c r="D113" s="80">
        <v>0</v>
      </c>
      <c r="E113" s="80">
        <v>0</v>
      </c>
      <c r="F113" s="84">
        <v>0.04</v>
      </c>
      <c r="G113" s="58"/>
    </row>
    <row r="114" spans="1:7" ht="21" hidden="1" thickBot="1" x14ac:dyDescent="0.5">
      <c r="A114" s="70" t="s">
        <v>20</v>
      </c>
      <c r="B114" s="78" t="s">
        <v>29</v>
      </c>
      <c r="C114" s="87">
        <v>0.02</v>
      </c>
      <c r="D114" s="88">
        <v>0</v>
      </c>
      <c r="E114" s="88">
        <v>0.02</v>
      </c>
      <c r="F114" s="98">
        <v>0</v>
      </c>
      <c r="G114" s="58"/>
    </row>
    <row r="115" spans="1:7" ht="20.25" hidden="1" x14ac:dyDescent="0.45">
      <c r="A115" s="68" t="s">
        <v>1</v>
      </c>
      <c r="B115" s="99" t="s">
        <v>30</v>
      </c>
      <c r="C115" s="101">
        <v>755</v>
      </c>
      <c r="D115" s="102">
        <v>718</v>
      </c>
      <c r="E115" s="102">
        <v>765</v>
      </c>
      <c r="F115" s="103">
        <v>761</v>
      </c>
      <c r="G115" s="58"/>
    </row>
    <row r="116" spans="1:7" ht="20.25" hidden="1" x14ac:dyDescent="0.45">
      <c r="A116" s="69" t="s">
        <v>2</v>
      </c>
      <c r="B116" s="99" t="s">
        <v>30</v>
      </c>
      <c r="C116" s="104">
        <v>656</v>
      </c>
      <c r="D116" s="105">
        <v>687</v>
      </c>
      <c r="E116" s="105">
        <v>689</v>
      </c>
      <c r="F116" s="106">
        <v>722</v>
      </c>
      <c r="G116" s="58"/>
    </row>
    <row r="117" spans="1:7" ht="20.25" hidden="1" x14ac:dyDescent="0.45">
      <c r="A117" s="69" t="s">
        <v>3</v>
      </c>
      <c r="B117" s="99" t="s">
        <v>30</v>
      </c>
      <c r="C117" s="104">
        <v>673</v>
      </c>
      <c r="D117" s="105">
        <v>717</v>
      </c>
      <c r="E117" s="105">
        <v>741</v>
      </c>
      <c r="F117" s="106">
        <v>810</v>
      </c>
      <c r="G117" s="58"/>
    </row>
    <row r="118" spans="1:7" ht="20.25" hidden="1" x14ac:dyDescent="0.45">
      <c r="A118" s="69" t="s">
        <v>4</v>
      </c>
      <c r="B118" s="99" t="s">
        <v>30</v>
      </c>
      <c r="C118" s="104">
        <v>769</v>
      </c>
      <c r="D118" s="105">
        <f>D75/D6</f>
        <v>780.78630891591615</v>
      </c>
      <c r="E118" s="105">
        <v>798</v>
      </c>
      <c r="F118" s="106">
        <v>811</v>
      </c>
      <c r="G118" s="58"/>
    </row>
    <row r="119" spans="1:7" ht="20.25" hidden="1" x14ac:dyDescent="0.45">
      <c r="A119" s="69" t="s">
        <v>5</v>
      </c>
      <c r="B119" s="99" t="s">
        <v>30</v>
      </c>
      <c r="C119" s="104">
        <v>847</v>
      </c>
      <c r="D119" s="105">
        <v>803</v>
      </c>
      <c r="E119" s="105">
        <v>854</v>
      </c>
      <c r="F119" s="106">
        <v>926</v>
      </c>
      <c r="G119" s="58"/>
    </row>
    <row r="120" spans="1:7" ht="20.25" hidden="1" x14ac:dyDescent="0.45">
      <c r="A120" s="69" t="s">
        <v>6</v>
      </c>
      <c r="B120" s="99" t="s">
        <v>30</v>
      </c>
      <c r="C120" s="104">
        <v>839</v>
      </c>
      <c r="D120" s="105">
        <v>849</v>
      </c>
      <c r="E120" s="105">
        <v>784</v>
      </c>
      <c r="F120" s="106">
        <v>902</v>
      </c>
      <c r="G120" s="58"/>
    </row>
    <row r="121" spans="1:7" ht="20.25" hidden="1" x14ac:dyDescent="0.45">
      <c r="A121" s="69" t="s">
        <v>7</v>
      </c>
      <c r="B121" s="99" t="s">
        <v>30</v>
      </c>
      <c r="C121" s="104">
        <v>1903</v>
      </c>
      <c r="D121" s="105">
        <v>1881</v>
      </c>
      <c r="E121" s="105">
        <v>1867</v>
      </c>
      <c r="F121" s="106">
        <v>1942</v>
      </c>
      <c r="G121" s="58"/>
    </row>
    <row r="122" spans="1:7" ht="20.25" hidden="1" x14ac:dyDescent="0.45">
      <c r="A122" s="69" t="s">
        <v>8</v>
      </c>
      <c r="B122" s="99" t="s">
        <v>30</v>
      </c>
      <c r="C122" s="104">
        <v>704</v>
      </c>
      <c r="D122" s="105">
        <v>672</v>
      </c>
      <c r="E122" s="105">
        <v>744</v>
      </c>
      <c r="F122" s="106">
        <v>818</v>
      </c>
      <c r="G122" s="58"/>
    </row>
    <row r="123" spans="1:7" ht="20.25" hidden="1" x14ac:dyDescent="0.45">
      <c r="A123" s="69" t="s">
        <v>9</v>
      </c>
      <c r="B123" s="99" t="s">
        <v>30</v>
      </c>
      <c r="C123" s="104">
        <v>744</v>
      </c>
      <c r="D123" s="105">
        <v>1064</v>
      </c>
      <c r="E123" s="105">
        <v>1113</v>
      </c>
      <c r="F123" s="106">
        <v>1150</v>
      </c>
      <c r="G123" s="58"/>
    </row>
    <row r="124" spans="1:7" ht="20.25" hidden="1" x14ac:dyDescent="0.45">
      <c r="A124" s="69" t="s">
        <v>10</v>
      </c>
      <c r="B124" s="99" t="s">
        <v>30</v>
      </c>
      <c r="C124" s="104">
        <v>831</v>
      </c>
      <c r="D124" s="105">
        <v>901</v>
      </c>
      <c r="E124" s="105">
        <v>910</v>
      </c>
      <c r="F124" s="106">
        <v>931</v>
      </c>
      <c r="G124" s="58"/>
    </row>
    <row r="125" spans="1:7" ht="20.25" hidden="1" x14ac:dyDescent="0.45">
      <c r="A125" s="69" t="s">
        <v>11</v>
      </c>
      <c r="B125" s="99" t="s">
        <v>30</v>
      </c>
      <c r="C125" s="104">
        <v>941</v>
      </c>
      <c r="D125" s="105">
        <v>956</v>
      </c>
      <c r="E125" s="105">
        <v>1082</v>
      </c>
      <c r="F125" s="106">
        <v>1215</v>
      </c>
      <c r="G125" s="58"/>
    </row>
    <row r="126" spans="1:7" ht="20.25" hidden="1" x14ac:dyDescent="0.45">
      <c r="A126" s="69" t="s">
        <v>12</v>
      </c>
      <c r="B126" s="99" t="s">
        <v>30</v>
      </c>
      <c r="C126" s="104">
        <v>694</v>
      </c>
      <c r="D126" s="105">
        <v>784</v>
      </c>
      <c r="E126" s="105">
        <v>822</v>
      </c>
      <c r="F126" s="106">
        <v>872</v>
      </c>
      <c r="G126" s="58"/>
    </row>
    <row r="127" spans="1:7" ht="20.25" hidden="1" x14ac:dyDescent="0.45">
      <c r="A127" s="69" t="s">
        <v>13</v>
      </c>
      <c r="B127" s="99" t="s">
        <v>30</v>
      </c>
      <c r="C127" s="104">
        <v>609</v>
      </c>
      <c r="D127" s="105">
        <v>660</v>
      </c>
      <c r="E127" s="105">
        <v>641</v>
      </c>
      <c r="F127" s="106">
        <v>790</v>
      </c>
      <c r="G127" s="58"/>
    </row>
    <row r="128" spans="1:7" ht="20.25" hidden="1" x14ac:dyDescent="0.45">
      <c r="A128" s="69" t="s">
        <v>14</v>
      </c>
      <c r="B128" s="99" t="s">
        <v>30</v>
      </c>
      <c r="C128" s="104">
        <v>876</v>
      </c>
      <c r="D128" s="105">
        <v>1017</v>
      </c>
      <c r="E128" s="105">
        <v>1192</v>
      </c>
      <c r="F128" s="106">
        <v>1091</v>
      </c>
      <c r="G128" s="58"/>
    </row>
    <row r="129" spans="1:7" ht="20.25" hidden="1" x14ac:dyDescent="0.45">
      <c r="A129" s="69" t="s">
        <v>15</v>
      </c>
      <c r="B129" s="99" t="s">
        <v>30</v>
      </c>
      <c r="C129" s="104">
        <v>790</v>
      </c>
      <c r="D129" s="105">
        <v>847</v>
      </c>
      <c r="E129" s="105">
        <v>860</v>
      </c>
      <c r="F129" s="106">
        <v>1101</v>
      </c>
      <c r="G129" s="58"/>
    </row>
    <row r="130" spans="1:7" ht="20.25" hidden="1" x14ac:dyDescent="0.45">
      <c r="A130" s="69" t="s">
        <v>16</v>
      </c>
      <c r="B130" s="99" t="s">
        <v>30</v>
      </c>
      <c r="C130" s="104">
        <v>1232</v>
      </c>
      <c r="D130" s="105">
        <v>1282</v>
      </c>
      <c r="E130" s="105">
        <v>1266</v>
      </c>
      <c r="F130" s="106">
        <v>1363</v>
      </c>
      <c r="G130" s="58"/>
    </row>
    <row r="131" spans="1:7" ht="20.25" hidden="1" x14ac:dyDescent="0.45">
      <c r="A131" s="69" t="s">
        <v>17</v>
      </c>
      <c r="B131" s="99" t="s">
        <v>30</v>
      </c>
      <c r="C131" s="104">
        <v>675</v>
      </c>
      <c r="D131" s="105">
        <v>680</v>
      </c>
      <c r="E131" s="105">
        <v>756</v>
      </c>
      <c r="F131" s="106">
        <v>725</v>
      </c>
      <c r="G131" s="58"/>
    </row>
    <row r="132" spans="1:7" ht="20.25" hidden="1" x14ac:dyDescent="0.45">
      <c r="A132" s="69" t="s">
        <v>18</v>
      </c>
      <c r="B132" s="99" t="s">
        <v>30</v>
      </c>
      <c r="C132" s="104">
        <v>717</v>
      </c>
      <c r="D132" s="105">
        <v>707</v>
      </c>
      <c r="E132" s="105">
        <v>763</v>
      </c>
      <c r="F132" s="106">
        <v>808</v>
      </c>
      <c r="G132" s="58"/>
    </row>
    <row r="133" spans="1:7" ht="20.25" hidden="1" x14ac:dyDescent="0.45">
      <c r="A133" s="69" t="s">
        <v>19</v>
      </c>
      <c r="B133" s="99" t="s">
        <v>30</v>
      </c>
      <c r="C133" s="104">
        <v>724</v>
      </c>
      <c r="D133" s="105">
        <v>676</v>
      </c>
      <c r="E133" s="105">
        <v>804</v>
      </c>
      <c r="F133" s="106">
        <v>785</v>
      </c>
      <c r="G133" s="58"/>
    </row>
    <row r="134" spans="1:7" ht="21" hidden="1" thickBot="1" x14ac:dyDescent="0.5">
      <c r="A134" s="70" t="s">
        <v>20</v>
      </c>
      <c r="B134" s="99" t="s">
        <v>30</v>
      </c>
      <c r="C134" s="104">
        <v>658</v>
      </c>
      <c r="D134" s="105">
        <v>645</v>
      </c>
      <c r="E134" s="105">
        <v>707</v>
      </c>
      <c r="F134" s="106">
        <v>720</v>
      </c>
      <c r="G134" s="58"/>
    </row>
    <row r="135" spans="1:7" ht="18.75" hidden="1" thickBot="1" x14ac:dyDescent="0.45">
      <c r="A135" s="34" t="s">
        <v>42</v>
      </c>
      <c r="B135" s="111" t="s">
        <v>30</v>
      </c>
      <c r="C135" s="41">
        <f>SUM(C115:C134)</f>
        <v>16637</v>
      </c>
      <c r="D135" s="37">
        <f t="shared" ref="D135:F135" si="15">SUM(D115:D134)</f>
        <v>17326.786308915915</v>
      </c>
      <c r="E135" s="37">
        <f t="shared" si="15"/>
        <v>18158</v>
      </c>
      <c r="F135" s="42">
        <f t="shared" si="15"/>
        <v>19243</v>
      </c>
      <c r="G135" s="36"/>
    </row>
    <row r="136" spans="1:7" ht="18.75" hidden="1" thickBot="1" x14ac:dyDescent="0.45">
      <c r="A136" s="34" t="s">
        <v>40</v>
      </c>
      <c r="B136" s="111" t="s">
        <v>30</v>
      </c>
      <c r="C136" s="43">
        <f>AVERAGE(C115:C134)</f>
        <v>831.85</v>
      </c>
      <c r="D136" s="38">
        <f t="shared" ref="D136:F136" si="16">AVERAGE(D115:D134)</f>
        <v>866.33931544579571</v>
      </c>
      <c r="E136" s="38">
        <f t="shared" si="16"/>
        <v>907.9</v>
      </c>
      <c r="F136" s="44">
        <f t="shared" si="16"/>
        <v>962.15</v>
      </c>
      <c r="G136" s="36"/>
    </row>
    <row r="137" spans="1:7" ht="18.75" hidden="1" thickBot="1" x14ac:dyDescent="0.45">
      <c r="A137" s="35" t="s">
        <v>41</v>
      </c>
      <c r="B137" s="112" t="s">
        <v>30</v>
      </c>
      <c r="C137" s="41">
        <f>MEDIAN(C115:C134)</f>
        <v>749.5</v>
      </c>
      <c r="D137" s="37">
        <f t="shared" ref="D137:F137" si="17">MEDIAN(D115:D134)</f>
        <v>782.39315445795808</v>
      </c>
      <c r="E137" s="37">
        <f t="shared" si="17"/>
        <v>801</v>
      </c>
      <c r="F137" s="42">
        <f t="shared" si="17"/>
        <v>845</v>
      </c>
      <c r="G137" s="36"/>
    </row>
    <row r="138" spans="1:7" ht="20.25" hidden="1" x14ac:dyDescent="0.45">
      <c r="A138" s="110" t="s">
        <v>1</v>
      </c>
      <c r="B138" s="99" t="s">
        <v>31</v>
      </c>
      <c r="C138" s="101">
        <v>426</v>
      </c>
      <c r="D138" s="102">
        <v>404</v>
      </c>
      <c r="E138" s="102">
        <v>463</v>
      </c>
      <c r="F138" s="103">
        <v>463</v>
      </c>
      <c r="G138" s="58"/>
    </row>
    <row r="139" spans="1:7" ht="20.25" hidden="1" x14ac:dyDescent="0.45">
      <c r="A139" s="69" t="s">
        <v>2</v>
      </c>
      <c r="B139" s="99" t="s">
        <v>31</v>
      </c>
      <c r="C139" s="104">
        <v>380</v>
      </c>
      <c r="D139" s="105">
        <v>392</v>
      </c>
      <c r="E139" s="105">
        <v>383</v>
      </c>
      <c r="F139" s="106">
        <v>381</v>
      </c>
      <c r="G139" s="58"/>
    </row>
    <row r="140" spans="1:7" ht="20.25" hidden="1" x14ac:dyDescent="0.45">
      <c r="A140" s="69" t="s">
        <v>3</v>
      </c>
      <c r="B140" s="99" t="s">
        <v>31</v>
      </c>
      <c r="C140" s="104">
        <f>323+46</f>
        <v>369</v>
      </c>
      <c r="D140" s="105">
        <f>350+38</f>
        <v>388</v>
      </c>
      <c r="E140" s="105">
        <f>346+45</f>
        <v>391</v>
      </c>
      <c r="F140" s="106">
        <f>375+61</f>
        <v>436</v>
      </c>
      <c r="G140" s="58"/>
    </row>
    <row r="141" spans="1:7" ht="20.25" hidden="1" x14ac:dyDescent="0.45">
      <c r="A141" s="69" t="s">
        <v>4</v>
      </c>
      <c r="B141" s="99" t="s">
        <v>31</v>
      </c>
      <c r="C141" s="104">
        <f>415+90</f>
        <v>505</v>
      </c>
      <c r="D141" s="105">
        <v>0</v>
      </c>
      <c r="E141" s="105">
        <f>415+90</f>
        <v>505</v>
      </c>
      <c r="F141" s="106">
        <f>383+86</f>
        <v>469</v>
      </c>
      <c r="G141" s="58"/>
    </row>
    <row r="142" spans="1:7" ht="20.25" hidden="1" x14ac:dyDescent="0.45">
      <c r="A142" s="69" t="s">
        <v>5</v>
      </c>
      <c r="B142" s="99" t="s">
        <v>31</v>
      </c>
      <c r="C142" s="104">
        <f>425+75</f>
        <v>500</v>
      </c>
      <c r="D142" s="105">
        <f>411+58</f>
        <v>469</v>
      </c>
      <c r="E142" s="105">
        <f>417+60</f>
        <v>477</v>
      </c>
      <c r="F142" s="106">
        <f>428+60</f>
        <v>488</v>
      </c>
      <c r="G142" s="58"/>
    </row>
    <row r="143" spans="1:7" ht="20.25" hidden="1" x14ac:dyDescent="0.45">
      <c r="A143" s="69" t="s">
        <v>6</v>
      </c>
      <c r="B143" s="99" t="s">
        <v>31</v>
      </c>
      <c r="C143" s="104">
        <f>314+72</f>
        <v>386</v>
      </c>
      <c r="D143" s="113">
        <f>310+84</f>
        <v>394</v>
      </c>
      <c r="E143" s="113">
        <f>280+91</f>
        <v>371</v>
      </c>
      <c r="F143" s="114">
        <f>322+97</f>
        <v>419</v>
      </c>
      <c r="G143" s="58"/>
    </row>
    <row r="144" spans="1:7" ht="20.25" hidden="1" x14ac:dyDescent="0.45">
      <c r="A144" s="69" t="s">
        <v>7</v>
      </c>
      <c r="B144" s="99" t="s">
        <v>31</v>
      </c>
      <c r="C144" s="104">
        <f>1409+51</f>
        <v>1460</v>
      </c>
      <c r="D144" s="105">
        <f>1369+180</f>
        <v>1549</v>
      </c>
      <c r="E144" s="105">
        <f>1325+176</f>
        <v>1501</v>
      </c>
      <c r="F144" s="106">
        <f>1302+192</f>
        <v>1494</v>
      </c>
      <c r="G144" s="58"/>
    </row>
    <row r="145" spans="1:7" ht="20.25" hidden="1" x14ac:dyDescent="0.45">
      <c r="A145" s="69" t="s">
        <v>8</v>
      </c>
      <c r="B145" s="99" t="s">
        <v>31</v>
      </c>
      <c r="C145" s="104">
        <f>338+59</f>
        <v>397</v>
      </c>
      <c r="D145" s="105">
        <f>332+58</f>
        <v>390</v>
      </c>
      <c r="E145" s="105">
        <f>304+65</f>
        <v>369</v>
      </c>
      <c r="F145" s="106">
        <f>355+63</f>
        <v>418</v>
      </c>
      <c r="G145" s="58"/>
    </row>
    <row r="146" spans="1:7" ht="20.25" hidden="1" x14ac:dyDescent="0.45">
      <c r="A146" s="69" t="s">
        <v>9</v>
      </c>
      <c r="B146" s="99" t="s">
        <v>31</v>
      </c>
      <c r="C146" s="104">
        <f>283+51</f>
        <v>334</v>
      </c>
      <c r="D146" s="105">
        <f>278+71</f>
        <v>349</v>
      </c>
      <c r="E146" s="105">
        <f>294+81</f>
        <v>375</v>
      </c>
      <c r="F146" s="106">
        <f>314+74</f>
        <v>388</v>
      </c>
      <c r="G146" s="58"/>
    </row>
    <row r="147" spans="1:7" ht="20.25" hidden="1" x14ac:dyDescent="0.45">
      <c r="A147" s="69" t="s">
        <v>10</v>
      </c>
      <c r="B147" s="99" t="s">
        <v>31</v>
      </c>
      <c r="C147" s="104">
        <f>420+83</f>
        <v>503</v>
      </c>
      <c r="D147" s="105">
        <f>423+81</f>
        <v>504</v>
      </c>
      <c r="E147" s="105">
        <f>421+86</f>
        <v>507</v>
      </c>
      <c r="F147" s="106">
        <f>421+88</f>
        <v>509</v>
      </c>
      <c r="G147" s="58"/>
    </row>
    <row r="148" spans="1:7" ht="20.25" hidden="1" x14ac:dyDescent="0.45">
      <c r="A148" s="69" t="s">
        <v>11</v>
      </c>
      <c r="B148" s="99" t="s">
        <v>31</v>
      </c>
      <c r="C148" s="104">
        <f>407+160</f>
        <v>567</v>
      </c>
      <c r="D148" s="105">
        <f>403+147</f>
        <v>550</v>
      </c>
      <c r="E148" s="105">
        <f>395+155</f>
        <v>550</v>
      </c>
      <c r="F148" s="106">
        <f>387+189</f>
        <v>576</v>
      </c>
      <c r="G148" s="58"/>
    </row>
    <row r="149" spans="1:7" ht="20.25" hidden="1" x14ac:dyDescent="0.45">
      <c r="A149" s="69" t="s">
        <v>12</v>
      </c>
      <c r="B149" s="99" t="s">
        <v>31</v>
      </c>
      <c r="C149" s="104">
        <f>321+83</f>
        <v>404</v>
      </c>
      <c r="D149" s="105">
        <f>313+83</f>
        <v>396</v>
      </c>
      <c r="E149" s="105">
        <f>308+88</f>
        <v>396</v>
      </c>
      <c r="F149" s="106">
        <f>306+101</f>
        <v>407</v>
      </c>
      <c r="G149" s="58"/>
    </row>
    <row r="150" spans="1:7" ht="20.25" hidden="1" x14ac:dyDescent="0.45">
      <c r="A150" s="69" t="s">
        <v>13</v>
      </c>
      <c r="B150" s="99" t="s">
        <v>31</v>
      </c>
      <c r="C150" s="104">
        <f>299+61</f>
        <v>360</v>
      </c>
      <c r="D150" s="105">
        <f>315+63</f>
        <v>378</v>
      </c>
      <c r="E150" s="105">
        <f>317+63</f>
        <v>380</v>
      </c>
      <c r="F150" s="106">
        <f>299+67</f>
        <v>366</v>
      </c>
      <c r="G150" s="58"/>
    </row>
    <row r="151" spans="1:7" ht="20.25" hidden="1" x14ac:dyDescent="0.45">
      <c r="A151" s="69" t="s">
        <v>14</v>
      </c>
      <c r="B151" s="99" t="s">
        <v>31</v>
      </c>
      <c r="C151" s="104">
        <f>450+69</f>
        <v>519</v>
      </c>
      <c r="D151" s="105">
        <f>447+63</f>
        <v>510</v>
      </c>
      <c r="E151" s="105">
        <f>435+72</f>
        <v>507</v>
      </c>
      <c r="F151" s="106">
        <f>465+76</f>
        <v>541</v>
      </c>
      <c r="G151" s="58"/>
    </row>
    <row r="152" spans="1:7" ht="20.25" hidden="1" x14ac:dyDescent="0.45">
      <c r="A152" s="69" t="s">
        <v>15</v>
      </c>
      <c r="B152" s="99" t="s">
        <v>31</v>
      </c>
      <c r="C152" s="104">
        <f>371+107</f>
        <v>478</v>
      </c>
      <c r="D152" s="105">
        <f>360+93</f>
        <v>453</v>
      </c>
      <c r="E152" s="105">
        <f>346+120</f>
        <v>466</v>
      </c>
      <c r="F152" s="106">
        <f>362+129</f>
        <v>491</v>
      </c>
      <c r="G152" s="58"/>
    </row>
    <row r="153" spans="1:7" ht="20.25" hidden="1" x14ac:dyDescent="0.45">
      <c r="A153" s="69" t="s">
        <v>16</v>
      </c>
      <c r="B153" s="99" t="s">
        <v>31</v>
      </c>
      <c r="C153" s="104">
        <f>577+123</f>
        <v>700</v>
      </c>
      <c r="D153" s="105">
        <f>580+144</f>
        <v>724</v>
      </c>
      <c r="E153" s="105">
        <f>555+117</f>
        <v>672</v>
      </c>
      <c r="F153" s="106">
        <f>577+148</f>
        <v>725</v>
      </c>
      <c r="G153" s="58"/>
    </row>
    <row r="154" spans="1:7" ht="20.25" hidden="1" x14ac:dyDescent="0.45">
      <c r="A154" s="69" t="s">
        <v>17</v>
      </c>
      <c r="B154" s="99" t="s">
        <v>31</v>
      </c>
      <c r="C154" s="104">
        <f>330+114</f>
        <v>444</v>
      </c>
      <c r="D154" s="105">
        <f>313+90</f>
        <v>403</v>
      </c>
      <c r="E154" s="105">
        <f>334+97</f>
        <v>431</v>
      </c>
      <c r="F154" s="106">
        <f>334+97</f>
        <v>431</v>
      </c>
      <c r="G154" s="58"/>
    </row>
    <row r="155" spans="1:7" ht="20.25" hidden="1" x14ac:dyDescent="0.45">
      <c r="A155" s="69" t="s">
        <v>18</v>
      </c>
      <c r="B155" s="99" t="s">
        <v>31</v>
      </c>
      <c r="C155" s="104">
        <f>388+66</f>
        <v>454</v>
      </c>
      <c r="D155" s="105">
        <f>367+67</f>
        <v>434</v>
      </c>
      <c r="E155" s="105">
        <f>371+69</f>
        <v>440</v>
      </c>
      <c r="F155" s="106">
        <f>372+72</f>
        <v>444</v>
      </c>
      <c r="G155" s="58"/>
    </row>
    <row r="156" spans="1:7" ht="20.25" hidden="1" x14ac:dyDescent="0.45">
      <c r="A156" s="69" t="s">
        <v>19</v>
      </c>
      <c r="B156" s="99" t="s">
        <v>31</v>
      </c>
      <c r="C156" s="104">
        <f>391+43</f>
        <v>434</v>
      </c>
      <c r="D156" s="105">
        <f>370+40</f>
        <v>410</v>
      </c>
      <c r="E156" s="105">
        <f>366+65</f>
        <v>431</v>
      </c>
      <c r="F156" s="106">
        <f>373+50</f>
        <v>423</v>
      </c>
      <c r="G156" s="58"/>
    </row>
    <row r="157" spans="1:7" ht="21" hidden="1" thickBot="1" x14ac:dyDescent="0.5">
      <c r="A157" s="70" t="s">
        <v>20</v>
      </c>
      <c r="B157" s="99" t="s">
        <v>31</v>
      </c>
      <c r="C157" s="107">
        <f>281+79</f>
        <v>360</v>
      </c>
      <c r="D157" s="108">
        <f>271+69</f>
        <v>340</v>
      </c>
      <c r="E157" s="108">
        <f>273+84</f>
        <v>357</v>
      </c>
      <c r="F157" s="109">
        <f>259+84</f>
        <v>343</v>
      </c>
      <c r="G157" s="58"/>
    </row>
    <row r="158" spans="1:7" ht="18.75" hidden="1" thickBot="1" x14ac:dyDescent="0.45">
      <c r="A158" s="34" t="s">
        <v>43</v>
      </c>
      <c r="B158" s="100" t="s">
        <v>31</v>
      </c>
      <c r="C158" s="43"/>
      <c r="D158" s="38"/>
      <c r="E158" s="38"/>
      <c r="F158" s="44"/>
      <c r="G158" s="36"/>
    </row>
    <row r="159" spans="1:7" ht="18.75" hidden="1" thickBot="1" x14ac:dyDescent="0.45">
      <c r="A159" s="34" t="s">
        <v>40</v>
      </c>
      <c r="B159" s="100" t="s">
        <v>31</v>
      </c>
      <c r="C159" s="43">
        <f>AVERAGE(C138:C157)</f>
        <v>499</v>
      </c>
      <c r="D159" s="38">
        <f t="shared" ref="D159:F159" si="18">AVERAGE(D138:D157)</f>
        <v>471.85</v>
      </c>
      <c r="E159" s="38">
        <f t="shared" si="18"/>
        <v>498.6</v>
      </c>
      <c r="F159" s="44">
        <f t="shared" si="18"/>
        <v>510.6</v>
      </c>
      <c r="G159" s="36"/>
    </row>
    <row r="160" spans="1:7" ht="18.75" hidden="1" thickBot="1" x14ac:dyDescent="0.45">
      <c r="A160" s="34" t="s">
        <v>41</v>
      </c>
      <c r="B160" s="111" t="s">
        <v>31</v>
      </c>
      <c r="C160" s="41">
        <f>MEDIAN(C138:C157)</f>
        <v>439</v>
      </c>
      <c r="D160" s="37">
        <f t="shared" ref="D160:F160" si="19">MEDIAN(D138:D157)</f>
        <v>403.5</v>
      </c>
      <c r="E160" s="37">
        <f t="shared" si="19"/>
        <v>435.5</v>
      </c>
      <c r="F160" s="42">
        <f t="shared" si="19"/>
        <v>440</v>
      </c>
      <c r="G160" s="36"/>
    </row>
    <row r="161" s="58" customFormat="1" ht="12.75" x14ac:dyDescent="0.2"/>
    <row r="162" s="58" customFormat="1" ht="12.75" x14ac:dyDescent="0.2"/>
    <row r="163" s="58" customFormat="1" ht="12.75" x14ac:dyDescent="0.2"/>
    <row r="164" s="58" customFormat="1" ht="12.75" x14ac:dyDescent="0.2"/>
    <row r="165" s="58" customFormat="1" ht="12.75" x14ac:dyDescent="0.2"/>
    <row r="166" s="58" customFormat="1" ht="12.75" x14ac:dyDescent="0.2"/>
    <row r="167" s="58" customFormat="1" ht="12.75" x14ac:dyDescent="0.2"/>
    <row r="168" s="58" customFormat="1" ht="12.75" x14ac:dyDescent="0.2"/>
    <row r="169" s="58" customFormat="1" ht="12.75" x14ac:dyDescent="0.2"/>
    <row r="170" s="58" customFormat="1" ht="12.75" x14ac:dyDescent="0.2"/>
    <row r="171" s="58" customFormat="1" ht="12.75" x14ac:dyDescent="0.2"/>
    <row r="172" s="58" customFormat="1" ht="12.75" x14ac:dyDescent="0.2"/>
    <row r="173" s="58" customFormat="1" ht="12.75" x14ac:dyDescent="0.2"/>
    <row r="174" s="58" customFormat="1" ht="12.75" x14ac:dyDescent="0.2"/>
    <row r="175" s="58" customFormat="1" ht="12.75" x14ac:dyDescent="0.2"/>
    <row r="176" s="58" customFormat="1" ht="12.75" x14ac:dyDescent="0.2"/>
    <row r="177" s="58" customFormat="1" ht="12.75" x14ac:dyDescent="0.2"/>
    <row r="178" s="58" customFormat="1" ht="12.75" x14ac:dyDescent="0.2"/>
    <row r="179" s="58" customFormat="1" ht="12.75" x14ac:dyDescent="0.2"/>
    <row r="180" s="58" customFormat="1" ht="12.75" x14ac:dyDescent="0.2"/>
    <row r="181" s="58" customFormat="1" ht="12.75" x14ac:dyDescent="0.2"/>
    <row r="182" s="58" customFormat="1" ht="12.75" x14ac:dyDescent="0.2"/>
    <row r="183" s="58" customFormat="1" ht="12.75" x14ac:dyDescent="0.2"/>
    <row r="184" s="58" customFormat="1" ht="12.75" x14ac:dyDescent="0.2"/>
    <row r="185" s="58" customFormat="1" ht="12.75" x14ac:dyDescent="0.2"/>
    <row r="186" s="58" customFormat="1" ht="12.75" x14ac:dyDescent="0.2"/>
    <row r="187" s="58" customFormat="1" ht="12.75" x14ac:dyDescent="0.2"/>
    <row r="188" s="58" customFormat="1" ht="12.75" x14ac:dyDescent="0.2"/>
    <row r="189" s="58" customFormat="1" ht="12.75" x14ac:dyDescent="0.2"/>
    <row r="190" s="58" customFormat="1" ht="12.75" x14ac:dyDescent="0.2"/>
    <row r="191" s="58" customFormat="1" ht="12.75" x14ac:dyDescent="0.2"/>
    <row r="192" s="58" customFormat="1" ht="12.75" x14ac:dyDescent="0.2"/>
    <row r="193" s="58" customFormat="1" ht="12.75" x14ac:dyDescent="0.2"/>
    <row r="194" s="58" customFormat="1" ht="12.75" x14ac:dyDescent="0.2"/>
    <row r="195" s="58" customFormat="1" ht="12.75" x14ac:dyDescent="0.2"/>
    <row r="196" s="58" customFormat="1" ht="12.75" x14ac:dyDescent="0.2"/>
    <row r="197" s="58" customFormat="1" ht="12.75" x14ac:dyDescent="0.2"/>
    <row r="198" s="58" customFormat="1" ht="12.75" x14ac:dyDescent="0.2"/>
    <row r="199" s="58" customFormat="1" ht="12.75" x14ac:dyDescent="0.2"/>
    <row r="200" s="58" customFormat="1" ht="12.75" x14ac:dyDescent="0.2"/>
    <row r="201" s="58" customFormat="1" ht="12.75" x14ac:dyDescent="0.2"/>
    <row r="202" s="58" customFormat="1" ht="12.75" x14ac:dyDescent="0.2"/>
    <row r="203" s="58" customFormat="1" ht="12.75" x14ac:dyDescent="0.2"/>
    <row r="204" s="58" customFormat="1" ht="12.75" x14ac:dyDescent="0.2"/>
    <row r="205" s="58" customFormat="1" ht="12.75" x14ac:dyDescent="0.2"/>
    <row r="206" s="58" customFormat="1" ht="12.75" x14ac:dyDescent="0.2"/>
    <row r="207" s="58" customFormat="1" ht="12.75" x14ac:dyDescent="0.2"/>
    <row r="208" s="58" customFormat="1" ht="12.75" x14ac:dyDescent="0.2"/>
    <row r="209" s="58" customFormat="1" ht="12.75" x14ac:dyDescent="0.2"/>
    <row r="210" s="58" customFormat="1" ht="12.75" x14ac:dyDescent="0.2"/>
    <row r="211" s="58" customFormat="1" ht="12.75" x14ac:dyDescent="0.2"/>
    <row r="212" s="58" customFormat="1" ht="12.75" x14ac:dyDescent="0.2"/>
    <row r="213" s="58" customFormat="1" ht="12.75" x14ac:dyDescent="0.2"/>
    <row r="214" s="58" customFormat="1" ht="12.75" x14ac:dyDescent="0.2"/>
    <row r="215" s="58" customFormat="1" ht="12.75" x14ac:dyDescent="0.2"/>
    <row r="216" s="58" customFormat="1" ht="12.75" x14ac:dyDescent="0.2"/>
    <row r="217" s="58" customFormat="1" ht="12.75" x14ac:dyDescent="0.2"/>
    <row r="218" s="58" customFormat="1" ht="12.75" x14ac:dyDescent="0.2"/>
    <row r="219" s="58" customFormat="1" ht="12.75" x14ac:dyDescent="0.2"/>
    <row r="220" s="58" customFormat="1" ht="12.75" x14ac:dyDescent="0.2"/>
    <row r="221" s="58" customFormat="1" ht="12.75" x14ac:dyDescent="0.2"/>
    <row r="222" s="58" customFormat="1" ht="12.75" x14ac:dyDescent="0.2"/>
    <row r="223" s="58" customFormat="1" ht="12.75" x14ac:dyDescent="0.2"/>
    <row r="224" s="58" customFormat="1" ht="12.75" x14ac:dyDescent="0.2"/>
    <row r="225" s="58" customFormat="1" ht="12.75" x14ac:dyDescent="0.2"/>
    <row r="226" s="58" customFormat="1" ht="12.75" x14ac:dyDescent="0.2"/>
    <row r="227" s="58" customFormat="1" ht="12.75" x14ac:dyDescent="0.2"/>
    <row r="228" s="58" customFormat="1" ht="12.75" x14ac:dyDescent="0.2"/>
    <row r="229" s="58" customFormat="1" ht="12.75" x14ac:dyDescent="0.2"/>
    <row r="230" s="58" customFormat="1" ht="12.75" x14ac:dyDescent="0.2"/>
    <row r="231" s="58" customFormat="1" ht="12.75" x14ac:dyDescent="0.2"/>
    <row r="232" s="58" customFormat="1" ht="12.75" x14ac:dyDescent="0.2"/>
    <row r="233" s="58" customFormat="1" ht="12.75" x14ac:dyDescent="0.2"/>
    <row r="234" s="58" customFormat="1" ht="12.75" x14ac:dyDescent="0.2"/>
    <row r="235" s="58" customFormat="1" ht="12.75" x14ac:dyDescent="0.2"/>
    <row r="236" s="58" customFormat="1" ht="12.75" x14ac:dyDescent="0.2"/>
    <row r="237" s="58" customFormat="1" ht="12.75" x14ac:dyDescent="0.2"/>
    <row r="238" s="58" customFormat="1" ht="12.75" x14ac:dyDescent="0.2"/>
    <row r="239" s="58" customFormat="1" ht="12.75" x14ac:dyDescent="0.2"/>
    <row r="240" s="58" customFormat="1" ht="12.75" x14ac:dyDescent="0.2"/>
    <row r="241" s="58" customFormat="1" ht="12.75" x14ac:dyDescent="0.2"/>
    <row r="242" s="58" customFormat="1" ht="12.75" x14ac:dyDescent="0.2"/>
    <row r="243" s="58" customFormat="1" ht="12.75" x14ac:dyDescent="0.2"/>
    <row r="244" s="58" customFormat="1" ht="12.75" x14ac:dyDescent="0.2"/>
    <row r="245" s="58" customFormat="1" ht="12.75" x14ac:dyDescent="0.2"/>
    <row r="246" s="58" customFormat="1" ht="12.75" x14ac:dyDescent="0.2"/>
    <row r="247" s="58" customFormat="1" ht="12.75" x14ac:dyDescent="0.2"/>
    <row r="248" s="58" customFormat="1" ht="12.75" x14ac:dyDescent="0.2"/>
    <row r="249" s="58" customFormat="1" ht="12.75" x14ac:dyDescent="0.2"/>
    <row r="250" s="58" customFormat="1" ht="12.75" x14ac:dyDescent="0.2"/>
    <row r="251" s="58" customFormat="1" ht="12.75" x14ac:dyDescent="0.2"/>
    <row r="252" s="58" customFormat="1" ht="12.75" x14ac:dyDescent="0.2"/>
    <row r="253" s="58" customFormat="1" ht="12.75" x14ac:dyDescent="0.2"/>
    <row r="254" s="58" customFormat="1" ht="12.75" x14ac:dyDescent="0.2"/>
    <row r="255" s="58" customFormat="1" ht="12.75" x14ac:dyDescent="0.2"/>
    <row r="256" s="58" customFormat="1" ht="12.75" x14ac:dyDescent="0.2"/>
    <row r="257" s="58" customFormat="1" ht="12.75" x14ac:dyDescent="0.2"/>
    <row r="258" s="58" customFormat="1" ht="12.75" x14ac:dyDescent="0.2"/>
    <row r="259" s="58" customFormat="1" ht="12.75" x14ac:dyDescent="0.2"/>
    <row r="260" s="58" customFormat="1" ht="12.75" x14ac:dyDescent="0.2"/>
    <row r="261" s="58" customFormat="1" ht="12.75" x14ac:dyDescent="0.2"/>
    <row r="262" s="58" customFormat="1" ht="12.75" x14ac:dyDescent="0.2"/>
    <row r="263" s="58" customFormat="1" ht="12.75" x14ac:dyDescent="0.2"/>
    <row r="264" s="58" customFormat="1" ht="12.75" x14ac:dyDescent="0.2"/>
    <row r="265" s="58" customFormat="1" ht="12.75" x14ac:dyDescent="0.2"/>
    <row r="266" s="58" customFormat="1" ht="12.75" x14ac:dyDescent="0.2"/>
    <row r="267" s="58" customFormat="1" ht="12.75" x14ac:dyDescent="0.2"/>
    <row r="268" s="58" customFormat="1" ht="12.75" x14ac:dyDescent="0.2"/>
    <row r="269" s="58" customFormat="1" ht="12.75" x14ac:dyDescent="0.2"/>
    <row r="270" s="58" customFormat="1" ht="12.75" x14ac:dyDescent="0.2"/>
    <row r="271" s="58" customFormat="1" ht="12.75" x14ac:dyDescent="0.2"/>
    <row r="272" s="58" customFormat="1" ht="12.75" x14ac:dyDescent="0.2"/>
    <row r="273" s="58" customFormat="1" ht="12.75" x14ac:dyDescent="0.2"/>
    <row r="274" s="58" customFormat="1" ht="12.75" x14ac:dyDescent="0.2"/>
    <row r="275" s="58" customFormat="1" ht="12.75" x14ac:dyDescent="0.2"/>
    <row r="276" s="58" customFormat="1" ht="12.75" x14ac:dyDescent="0.2"/>
    <row r="277" s="58" customFormat="1" ht="12.75" x14ac:dyDescent="0.2"/>
    <row r="278" s="58" customFormat="1" ht="12.75" x14ac:dyDescent="0.2"/>
    <row r="279" s="58" customFormat="1" ht="12.75" x14ac:dyDescent="0.2"/>
    <row r="280" s="58" customFormat="1" ht="12.75" x14ac:dyDescent="0.2"/>
    <row r="281" s="58" customFormat="1" ht="12.75" x14ac:dyDescent="0.2"/>
    <row r="282" s="58" customFormat="1" ht="12.75" x14ac:dyDescent="0.2"/>
    <row r="283" s="58" customFormat="1" ht="12.75" x14ac:dyDescent="0.2"/>
    <row r="284" s="58" customFormat="1" ht="12.75" x14ac:dyDescent="0.2"/>
    <row r="285" s="58" customFormat="1" ht="12.75" x14ac:dyDescent="0.2"/>
    <row r="286" s="58" customFormat="1" ht="12.75" x14ac:dyDescent="0.2"/>
    <row r="287" s="58" customFormat="1" ht="12.75" x14ac:dyDescent="0.2"/>
    <row r="288" s="58" customFormat="1" ht="12.75" x14ac:dyDescent="0.2"/>
    <row r="289" s="58" customFormat="1" ht="12.75" x14ac:dyDescent="0.2"/>
    <row r="290" s="58" customFormat="1" ht="12.75" x14ac:dyDescent="0.2"/>
    <row r="291" s="58" customFormat="1" ht="12.75" x14ac:dyDescent="0.2"/>
    <row r="292" s="58" customFormat="1" ht="12.75" x14ac:dyDescent="0.2"/>
    <row r="293" s="58" customFormat="1" ht="12.75" x14ac:dyDescent="0.2"/>
    <row r="294" s="58" customFormat="1" ht="12.75" x14ac:dyDescent="0.2"/>
    <row r="295" s="58" customFormat="1" ht="12.75" x14ac:dyDescent="0.2"/>
    <row r="296" s="58" customFormat="1" ht="12.75" x14ac:dyDescent="0.2"/>
    <row r="297" s="58" customFormat="1" ht="12.75" x14ac:dyDescent="0.2"/>
    <row r="298" s="58" customFormat="1" ht="12.75" x14ac:dyDescent="0.2"/>
    <row r="299" s="58" customFormat="1" ht="12.75" x14ac:dyDescent="0.2"/>
    <row r="300" s="58" customFormat="1" ht="12.75" x14ac:dyDescent="0.2"/>
    <row r="301" s="58" customFormat="1" ht="12.75" x14ac:dyDescent="0.2"/>
    <row r="302" s="58" customFormat="1" ht="12.75" x14ac:dyDescent="0.2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  <row r="307" s="58" customFormat="1" ht="12.75" x14ac:dyDescent="0.2"/>
    <row r="308" s="58" customFormat="1" ht="12.75" x14ac:dyDescent="0.2"/>
    <row r="309" s="58" customFormat="1" ht="12.75" x14ac:dyDescent="0.2"/>
    <row r="310" s="58" customFormat="1" ht="12.75" x14ac:dyDescent="0.2"/>
    <row r="311" s="58" customFormat="1" ht="12.75" x14ac:dyDescent="0.2"/>
    <row r="312" s="58" customFormat="1" ht="12.75" x14ac:dyDescent="0.2"/>
    <row r="313" s="58" customFormat="1" ht="12.75" x14ac:dyDescent="0.2"/>
    <row r="314" s="58" customFormat="1" ht="12.75" x14ac:dyDescent="0.2"/>
    <row r="315" s="58" customFormat="1" ht="12.75" x14ac:dyDescent="0.2"/>
    <row r="316" s="58" customFormat="1" ht="12.75" x14ac:dyDescent="0.2"/>
    <row r="317" s="58" customFormat="1" ht="12.75" x14ac:dyDescent="0.2"/>
    <row r="318" s="58" customFormat="1" ht="12.75" x14ac:dyDescent="0.2"/>
    <row r="319" s="58" customFormat="1" ht="12.75" x14ac:dyDescent="0.2"/>
  </sheetData>
  <mergeCells count="1">
    <mergeCell ref="A1:G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94BB9F-BCE6-4C30-A356-A493F830BE86}">
          <x14:formula1>
            <xm:f>MESTRE!$A$2:$A$21</xm:f>
          </x14:formula1>
          <xm:sqref>A3:A22 A26:A45 A49:A68 A161:A316 A95:A134 A138:A157 A91 A72:A90</xm:sqref>
        </x14:dataValidation>
        <x14:dataValidation type="list" allowBlank="1" showInputMessage="1" showErrorMessage="1" xr:uid="{62D61EDB-FA2A-4323-B4BE-AB21F567C9E8}">
          <x14:formula1>
            <xm:f>MESTRE!$C$2:$C$8</xm:f>
          </x14:formula1>
          <xm:sqref>B3:B577</xm:sqref>
        </x14:dataValidation>
        <x14:dataValidation type="list" allowBlank="1" showInputMessage="1" showErrorMessage="1" xr:uid="{C0369266-E210-4E4D-B7D5-300DBD821E4F}">
          <x14:formula1>
            <xm:f>MESTRE!$A$2:$A$2096</xm:f>
          </x14:formula1>
          <xm:sqref>A23:A25 A158:A160 A46:A48 A69:A71 A92:A94 A135:A137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3F5D-EA55-450B-9137-BC36D4B731DB}">
  <sheetPr>
    <tabColor rgb="FFF4F292"/>
  </sheetPr>
  <dimension ref="A1:G313"/>
  <sheetViews>
    <sheetView showGridLines="0" zoomScale="84" zoomScaleNormal="84" workbookViewId="0">
      <selection activeCell="C16" sqref="C16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5.85546875" customWidth="1"/>
    <col min="8" max="9" width="10.42578125" customWidth="1"/>
  </cols>
  <sheetData>
    <row r="1" spans="1:7" s="182" customFormat="1" ht="24" customHeight="1" thickBot="1" x14ac:dyDescent="0.35">
      <c r="A1" s="400" t="s">
        <v>44</v>
      </c>
      <c r="B1" s="401"/>
      <c r="C1" s="401"/>
      <c r="D1" s="401"/>
      <c r="E1" s="401"/>
      <c r="F1" s="402"/>
      <c r="G1" s="181"/>
    </row>
    <row r="2" spans="1:7" s="9" customFormat="1" ht="36" customHeight="1" thickBot="1" x14ac:dyDescent="0.3">
      <c r="A2" s="158" t="s">
        <v>0</v>
      </c>
      <c r="B2" s="157" t="s">
        <v>24</v>
      </c>
      <c r="C2" s="159" t="s">
        <v>32</v>
      </c>
      <c r="D2" s="160" t="s">
        <v>33</v>
      </c>
      <c r="E2" s="160" t="s">
        <v>34</v>
      </c>
      <c r="F2" s="161" t="s">
        <v>35</v>
      </c>
    </row>
    <row r="3" spans="1:7" ht="18" x14ac:dyDescent="0.4">
      <c r="A3" s="25" t="s">
        <v>1</v>
      </c>
      <c r="B3" s="77" t="s">
        <v>45</v>
      </c>
      <c r="C3" s="162">
        <v>6.11</v>
      </c>
      <c r="D3" s="33">
        <v>7.11</v>
      </c>
      <c r="E3" s="33">
        <v>7.52</v>
      </c>
      <c r="F3" s="163">
        <v>7.52</v>
      </c>
      <c r="G3" s="9"/>
    </row>
    <row r="4" spans="1:7" ht="18" x14ac:dyDescent="0.4">
      <c r="A4" s="14" t="s">
        <v>2</v>
      </c>
      <c r="B4" s="77" t="s">
        <v>45</v>
      </c>
      <c r="C4" s="162">
        <v>3</v>
      </c>
      <c r="D4" s="33">
        <v>3</v>
      </c>
      <c r="E4" s="33"/>
      <c r="F4" s="163"/>
    </row>
    <row r="5" spans="1:7" ht="18" x14ac:dyDescent="0.4">
      <c r="A5" s="14" t="s">
        <v>3</v>
      </c>
      <c r="B5" s="77" t="s">
        <v>45</v>
      </c>
      <c r="C5" s="162">
        <v>2</v>
      </c>
      <c r="D5" s="33">
        <v>3</v>
      </c>
      <c r="E5" s="33">
        <v>3.5</v>
      </c>
      <c r="F5" s="163"/>
    </row>
    <row r="6" spans="1:7" ht="18" x14ac:dyDescent="0.4">
      <c r="A6" s="14" t="s">
        <v>4</v>
      </c>
      <c r="B6" s="77" t="s">
        <v>45</v>
      </c>
      <c r="C6" s="162">
        <v>9.91</v>
      </c>
      <c r="D6" s="33">
        <v>9.91</v>
      </c>
      <c r="E6" s="33">
        <v>9.7799999999999994</v>
      </c>
      <c r="F6" s="163"/>
    </row>
    <row r="7" spans="1:7" ht="18" x14ac:dyDescent="0.4">
      <c r="A7" s="14" t="s">
        <v>5</v>
      </c>
      <c r="B7" s="77" t="s">
        <v>45</v>
      </c>
      <c r="C7" s="162"/>
      <c r="D7" s="33">
        <v>23.5</v>
      </c>
      <c r="E7" s="33"/>
      <c r="F7" s="163"/>
    </row>
    <row r="8" spans="1:7" ht="18" x14ac:dyDescent="0.4">
      <c r="A8" s="14" t="s">
        <v>6</v>
      </c>
      <c r="B8" s="77" t="s">
        <v>45</v>
      </c>
      <c r="C8" s="162">
        <v>0.4</v>
      </c>
      <c r="D8" s="33">
        <v>0.4</v>
      </c>
      <c r="E8" s="33">
        <v>0.4</v>
      </c>
      <c r="F8" s="163">
        <v>0.4</v>
      </c>
    </row>
    <row r="9" spans="1:7" ht="18" x14ac:dyDescent="0.4">
      <c r="A9" s="14" t="s">
        <v>7</v>
      </c>
      <c r="B9" s="77" t="s">
        <v>45</v>
      </c>
      <c r="C9" s="162"/>
      <c r="D9" s="33"/>
      <c r="E9" s="33"/>
      <c r="F9" s="163"/>
    </row>
    <row r="10" spans="1:7" ht="18" x14ac:dyDescent="0.4">
      <c r="A10" s="14" t="s">
        <v>8</v>
      </c>
      <c r="B10" s="77" t="s">
        <v>45</v>
      </c>
      <c r="C10" s="162">
        <f>(9306+1650)/1000</f>
        <v>10.956</v>
      </c>
      <c r="D10" s="33">
        <v>10.96</v>
      </c>
      <c r="E10" s="33">
        <v>13.55</v>
      </c>
      <c r="F10" s="163">
        <v>5.9</v>
      </c>
    </row>
    <row r="11" spans="1:7" ht="18" x14ac:dyDescent="0.4">
      <c r="A11" s="14" t="s">
        <v>9</v>
      </c>
      <c r="B11" s="77" t="s">
        <v>45</v>
      </c>
      <c r="C11" s="162">
        <v>0</v>
      </c>
      <c r="D11" s="33">
        <v>0</v>
      </c>
      <c r="E11" s="33"/>
      <c r="F11" s="163"/>
    </row>
    <row r="12" spans="1:7" ht="18" x14ac:dyDescent="0.4">
      <c r="A12" s="14" t="s">
        <v>10</v>
      </c>
      <c r="B12" s="77" t="s">
        <v>45</v>
      </c>
      <c r="C12" s="162"/>
      <c r="D12" s="33"/>
      <c r="E12" s="33"/>
      <c r="F12" s="163"/>
    </row>
    <row r="13" spans="1:7" ht="18" x14ac:dyDescent="0.4">
      <c r="A13" s="14" t="s">
        <v>11</v>
      </c>
      <c r="B13" s="77" t="s">
        <v>45</v>
      </c>
      <c r="C13" s="162"/>
      <c r="D13" s="33"/>
      <c r="E13" s="33"/>
      <c r="F13" s="163"/>
    </row>
    <row r="14" spans="1:7" ht="18" x14ac:dyDescent="0.4">
      <c r="A14" s="14" t="s">
        <v>12</v>
      </c>
      <c r="B14" s="77" t="s">
        <v>45</v>
      </c>
      <c r="C14" s="162"/>
      <c r="D14" s="33"/>
      <c r="E14" s="33"/>
      <c r="F14" s="163"/>
    </row>
    <row r="15" spans="1:7" ht="18" x14ac:dyDescent="0.4">
      <c r="A15" s="14" t="s">
        <v>13</v>
      </c>
      <c r="B15" s="77" t="s">
        <v>45</v>
      </c>
      <c r="C15" s="162">
        <v>9</v>
      </c>
      <c r="D15" s="33">
        <v>9</v>
      </c>
      <c r="E15" s="33">
        <v>12.3</v>
      </c>
      <c r="F15" s="163">
        <v>11.8</v>
      </c>
    </row>
    <row r="16" spans="1:7" ht="18" x14ac:dyDescent="0.4">
      <c r="A16" s="14" t="s">
        <v>14</v>
      </c>
      <c r="B16" s="77" t="s">
        <v>45</v>
      </c>
      <c r="C16" s="162">
        <v>18</v>
      </c>
      <c r="D16" s="33">
        <v>18</v>
      </c>
      <c r="E16" s="33"/>
      <c r="F16" s="163"/>
    </row>
    <row r="17" spans="1:7" ht="18" x14ac:dyDescent="0.4">
      <c r="A17" s="14" t="s">
        <v>15</v>
      </c>
      <c r="B17" s="77" t="s">
        <v>45</v>
      </c>
      <c r="C17" s="162">
        <v>2.5499999999999998</v>
      </c>
      <c r="D17" s="33">
        <v>2.5499999999999998</v>
      </c>
      <c r="E17" s="33"/>
      <c r="F17" s="163"/>
    </row>
    <row r="18" spans="1:7" ht="18" x14ac:dyDescent="0.4">
      <c r="A18" s="14" t="s">
        <v>16</v>
      </c>
      <c r="B18" s="77" t="s">
        <v>45</v>
      </c>
      <c r="C18" s="164">
        <f>(2165+613.28+692+157.58+320+80)/1000</f>
        <v>4.0278599999999996</v>
      </c>
      <c r="D18" s="33">
        <v>4.0279999999999996</v>
      </c>
      <c r="E18" s="33"/>
      <c r="F18" s="163"/>
    </row>
    <row r="19" spans="1:7" ht="18" x14ac:dyDescent="0.4">
      <c r="A19" s="14" t="s">
        <v>17</v>
      </c>
      <c r="B19" s="77" t="s">
        <v>45</v>
      </c>
      <c r="C19" s="162">
        <f>(300+570+1150)/1000</f>
        <v>2.02</v>
      </c>
      <c r="D19" s="33">
        <v>2.02</v>
      </c>
      <c r="E19" s="33">
        <v>2.2999999999999998</v>
      </c>
      <c r="F19" s="163">
        <v>2.02</v>
      </c>
    </row>
    <row r="20" spans="1:7" ht="18" x14ac:dyDescent="0.4">
      <c r="A20" s="14" t="s">
        <v>18</v>
      </c>
      <c r="B20" s="77" t="s">
        <v>45</v>
      </c>
      <c r="C20" s="162">
        <v>3.15</v>
      </c>
      <c r="D20" s="33">
        <v>3.15</v>
      </c>
      <c r="E20" s="33">
        <v>3.15</v>
      </c>
      <c r="F20" s="163">
        <v>3.15</v>
      </c>
    </row>
    <row r="21" spans="1:7" ht="18" x14ac:dyDescent="0.4">
      <c r="A21" s="14" t="s">
        <v>19</v>
      </c>
      <c r="B21" s="77" t="s">
        <v>45</v>
      </c>
      <c r="C21" s="162">
        <v>26.5</v>
      </c>
      <c r="D21" s="33">
        <v>26.5</v>
      </c>
      <c r="E21" s="33">
        <v>28.4</v>
      </c>
      <c r="F21" s="163">
        <v>32</v>
      </c>
    </row>
    <row r="22" spans="1:7" ht="18.75" thickBot="1" x14ac:dyDescent="0.45">
      <c r="A22" s="29" t="s">
        <v>20</v>
      </c>
      <c r="B22" s="77" t="s">
        <v>45</v>
      </c>
      <c r="C22" s="165">
        <v>2.5</v>
      </c>
      <c r="D22" s="166">
        <v>3</v>
      </c>
      <c r="E22" s="166">
        <v>3.35</v>
      </c>
      <c r="F22" s="167"/>
    </row>
    <row r="23" spans="1:7" ht="18.75" thickBot="1" x14ac:dyDescent="0.45">
      <c r="A23" s="34" t="s">
        <v>58</v>
      </c>
      <c r="B23" s="111" t="s">
        <v>45</v>
      </c>
      <c r="C23" s="145">
        <f>SUM(C3:C22)</f>
        <v>100.12385999999999</v>
      </c>
      <c r="D23" s="144">
        <f t="shared" ref="D23:F23" si="0">SUM(D3:D22)</f>
        <v>126.128</v>
      </c>
      <c r="E23" s="139">
        <f t="shared" si="0"/>
        <v>84.249999999999986</v>
      </c>
      <c r="F23" s="140">
        <f t="shared" si="0"/>
        <v>62.79</v>
      </c>
    </row>
    <row r="24" spans="1:7" ht="18.75" thickBot="1" x14ac:dyDescent="0.45">
      <c r="A24" s="34" t="s">
        <v>40</v>
      </c>
      <c r="B24" s="111" t="s">
        <v>45</v>
      </c>
      <c r="C24" s="147">
        <f>AVERAGE(C3:C22)</f>
        <v>6.6749239999999999</v>
      </c>
      <c r="D24" s="148">
        <f>AVERAGE(D3:D22)</f>
        <v>7.883</v>
      </c>
      <c r="E24" s="148">
        <f>AVERAGE(E3:E22)</f>
        <v>8.4249999999999989</v>
      </c>
      <c r="F24" s="149">
        <f t="shared" ref="F24" si="1">AVERAGE(F3:F22)</f>
        <v>8.9700000000000006</v>
      </c>
    </row>
    <row r="25" spans="1:7" ht="18.75" thickBot="1" x14ac:dyDescent="0.45">
      <c r="A25" s="35" t="s">
        <v>41</v>
      </c>
      <c r="B25" s="146" t="s">
        <v>45</v>
      </c>
      <c r="C25" s="141">
        <f>MEDIAN(C3:C22)</f>
        <v>3.15</v>
      </c>
      <c r="D25" s="142">
        <f t="shared" ref="D25:F25" si="2">MEDIAN(D3:D22)</f>
        <v>3.5889999999999995</v>
      </c>
      <c r="E25" s="142">
        <f>MEDIAN(E3:E22)</f>
        <v>5.51</v>
      </c>
      <c r="F25" s="143">
        <f t="shared" si="2"/>
        <v>5.9</v>
      </c>
    </row>
    <row r="26" spans="1:7" ht="18" hidden="1" x14ac:dyDescent="0.4">
      <c r="A26" s="25" t="s">
        <v>1</v>
      </c>
      <c r="B26" s="99" t="s">
        <v>53</v>
      </c>
      <c r="C26" s="168" t="s">
        <v>62</v>
      </c>
      <c r="D26" s="169" t="s">
        <v>62</v>
      </c>
      <c r="E26" s="169" t="s">
        <v>62</v>
      </c>
      <c r="F26" s="170" t="s">
        <v>62</v>
      </c>
    </row>
    <row r="27" spans="1:7" ht="18" hidden="1" x14ac:dyDescent="0.4">
      <c r="A27" s="14" t="s">
        <v>2</v>
      </c>
      <c r="B27" s="99" t="s">
        <v>53</v>
      </c>
      <c r="C27" s="162" t="s">
        <v>62</v>
      </c>
      <c r="D27" s="33" t="s">
        <v>62</v>
      </c>
      <c r="E27" s="33" t="s">
        <v>62</v>
      </c>
      <c r="F27" s="163" t="s">
        <v>62</v>
      </c>
    </row>
    <row r="28" spans="1:7" ht="18" hidden="1" x14ac:dyDescent="0.4">
      <c r="A28" s="14" t="s">
        <v>3</v>
      </c>
      <c r="B28" s="99" t="s">
        <v>53</v>
      </c>
      <c r="C28" s="162" t="s">
        <v>62</v>
      </c>
      <c r="D28" s="33" t="s">
        <v>62</v>
      </c>
      <c r="E28" s="33" t="s">
        <v>62</v>
      </c>
      <c r="F28" s="163" t="s">
        <v>62</v>
      </c>
    </row>
    <row r="29" spans="1:7" ht="18" hidden="1" x14ac:dyDescent="0.4">
      <c r="A29" s="14" t="s">
        <v>4</v>
      </c>
      <c r="B29" s="99" t="s">
        <v>53</v>
      </c>
      <c r="C29" s="162" t="s">
        <v>62</v>
      </c>
      <c r="D29" s="33" t="s">
        <v>62</v>
      </c>
      <c r="E29" s="33" t="s">
        <v>62</v>
      </c>
      <c r="F29" s="163" t="s">
        <v>62</v>
      </c>
      <c r="G29" s="58"/>
    </row>
    <row r="30" spans="1:7" ht="18" hidden="1" x14ac:dyDescent="0.4">
      <c r="A30" s="14" t="s">
        <v>5</v>
      </c>
      <c r="B30" s="99" t="s">
        <v>53</v>
      </c>
      <c r="C30" s="171" t="s">
        <v>63</v>
      </c>
      <c r="D30" s="172" t="s">
        <v>63</v>
      </c>
      <c r="E30" s="172" t="s">
        <v>63</v>
      </c>
      <c r="F30" s="173" t="s">
        <v>63</v>
      </c>
      <c r="G30" s="58"/>
    </row>
    <row r="31" spans="1:7" ht="18" hidden="1" x14ac:dyDescent="0.4">
      <c r="A31" s="14" t="s">
        <v>6</v>
      </c>
      <c r="B31" s="99" t="s">
        <v>53</v>
      </c>
      <c r="C31" s="162" t="s">
        <v>62</v>
      </c>
      <c r="D31" s="33" t="s">
        <v>62</v>
      </c>
      <c r="E31" s="33" t="s">
        <v>62</v>
      </c>
      <c r="F31" s="163" t="s">
        <v>62</v>
      </c>
      <c r="G31" s="58"/>
    </row>
    <row r="32" spans="1:7" ht="18" hidden="1" x14ac:dyDescent="0.4">
      <c r="A32" s="14" t="s">
        <v>7</v>
      </c>
      <c r="B32" s="99" t="s">
        <v>53</v>
      </c>
      <c r="C32" s="162" t="s">
        <v>62</v>
      </c>
      <c r="D32" s="33" t="s">
        <v>62</v>
      </c>
      <c r="E32" s="33" t="s">
        <v>62</v>
      </c>
      <c r="F32" s="163" t="s">
        <v>62</v>
      </c>
      <c r="G32" s="58"/>
    </row>
    <row r="33" spans="1:7" ht="18" hidden="1" x14ac:dyDescent="0.4">
      <c r="A33" s="14" t="s">
        <v>8</v>
      </c>
      <c r="B33" s="99" t="s">
        <v>53</v>
      </c>
      <c r="C33" s="162" t="s">
        <v>62</v>
      </c>
      <c r="D33" s="33" t="s">
        <v>62</v>
      </c>
      <c r="E33" s="33" t="s">
        <v>62</v>
      </c>
      <c r="F33" s="163" t="s">
        <v>62</v>
      </c>
      <c r="G33" s="58"/>
    </row>
    <row r="34" spans="1:7" ht="18" hidden="1" x14ac:dyDescent="0.4">
      <c r="A34" s="14" t="s">
        <v>9</v>
      </c>
      <c r="B34" s="99" t="s">
        <v>53</v>
      </c>
      <c r="C34" s="162" t="s">
        <v>62</v>
      </c>
      <c r="D34" s="33" t="s">
        <v>62</v>
      </c>
      <c r="E34" s="33" t="s">
        <v>62</v>
      </c>
      <c r="F34" s="163" t="s">
        <v>62</v>
      </c>
      <c r="G34" s="58"/>
    </row>
    <row r="35" spans="1:7" ht="18" hidden="1" x14ac:dyDescent="0.4">
      <c r="A35" s="14" t="s">
        <v>10</v>
      </c>
      <c r="B35" s="99" t="s">
        <v>53</v>
      </c>
      <c r="C35" s="162" t="s">
        <v>62</v>
      </c>
      <c r="D35" s="33" t="s">
        <v>62</v>
      </c>
      <c r="E35" s="33" t="s">
        <v>62</v>
      </c>
      <c r="F35" s="163" t="s">
        <v>62</v>
      </c>
      <c r="G35" s="58"/>
    </row>
    <row r="36" spans="1:7" ht="18" hidden="1" x14ac:dyDescent="0.4">
      <c r="A36" s="14" t="s">
        <v>11</v>
      </c>
      <c r="B36" s="99" t="s">
        <v>53</v>
      </c>
      <c r="C36" s="162" t="s">
        <v>62</v>
      </c>
      <c r="D36" s="33" t="s">
        <v>62</v>
      </c>
      <c r="E36" s="33" t="s">
        <v>62</v>
      </c>
      <c r="F36" s="163" t="s">
        <v>62</v>
      </c>
      <c r="G36" s="58"/>
    </row>
    <row r="37" spans="1:7" ht="18" hidden="1" x14ac:dyDescent="0.4">
      <c r="A37" s="14" t="s">
        <v>12</v>
      </c>
      <c r="B37" s="99" t="s">
        <v>53</v>
      </c>
      <c r="C37" s="162" t="s">
        <v>62</v>
      </c>
      <c r="D37" s="33" t="s">
        <v>62</v>
      </c>
      <c r="E37" s="33" t="s">
        <v>62</v>
      </c>
      <c r="F37" s="163" t="s">
        <v>62</v>
      </c>
      <c r="G37" s="58"/>
    </row>
    <row r="38" spans="1:7" ht="18" hidden="1" x14ac:dyDescent="0.4">
      <c r="A38" s="14" t="s">
        <v>13</v>
      </c>
      <c r="B38" s="99" t="s">
        <v>53</v>
      </c>
      <c r="C38" s="162" t="s">
        <v>62</v>
      </c>
      <c r="D38" s="33" t="s">
        <v>62</v>
      </c>
      <c r="E38" s="33" t="s">
        <v>62</v>
      </c>
      <c r="F38" s="163" t="s">
        <v>62</v>
      </c>
      <c r="G38" s="58"/>
    </row>
    <row r="39" spans="1:7" ht="18" hidden="1" x14ac:dyDescent="0.4">
      <c r="A39" s="14" t="s">
        <v>14</v>
      </c>
      <c r="B39" s="99" t="s">
        <v>53</v>
      </c>
      <c r="C39" s="162" t="s">
        <v>62</v>
      </c>
      <c r="D39" s="33" t="s">
        <v>62</v>
      </c>
      <c r="E39" s="33" t="s">
        <v>62</v>
      </c>
      <c r="F39" s="163" t="s">
        <v>62</v>
      </c>
      <c r="G39" s="58"/>
    </row>
    <row r="40" spans="1:7" ht="18" hidden="1" x14ac:dyDescent="0.4">
      <c r="A40" s="14" t="s">
        <v>15</v>
      </c>
      <c r="B40" s="99" t="s">
        <v>53</v>
      </c>
      <c r="C40" s="162" t="s">
        <v>62</v>
      </c>
      <c r="D40" s="33" t="s">
        <v>62</v>
      </c>
      <c r="E40" s="33" t="s">
        <v>62</v>
      </c>
      <c r="F40" s="163" t="s">
        <v>62</v>
      </c>
      <c r="G40" s="58"/>
    </row>
    <row r="41" spans="1:7" ht="18" hidden="1" x14ac:dyDescent="0.4">
      <c r="A41" s="14" t="s">
        <v>16</v>
      </c>
      <c r="B41" s="99" t="s">
        <v>53</v>
      </c>
      <c r="C41" s="162" t="s">
        <v>62</v>
      </c>
      <c r="D41" s="33" t="s">
        <v>62</v>
      </c>
      <c r="E41" s="33" t="s">
        <v>62</v>
      </c>
      <c r="F41" s="163" t="s">
        <v>62</v>
      </c>
      <c r="G41" s="58"/>
    </row>
    <row r="42" spans="1:7" ht="18" hidden="1" x14ac:dyDescent="0.4">
      <c r="A42" s="14" t="s">
        <v>17</v>
      </c>
      <c r="B42" s="99" t="s">
        <v>53</v>
      </c>
      <c r="C42" s="162" t="s">
        <v>62</v>
      </c>
      <c r="D42" s="33" t="s">
        <v>62</v>
      </c>
      <c r="E42" s="33" t="s">
        <v>62</v>
      </c>
      <c r="F42" s="163" t="s">
        <v>62</v>
      </c>
      <c r="G42" s="58"/>
    </row>
    <row r="43" spans="1:7" ht="18" hidden="1" x14ac:dyDescent="0.4">
      <c r="A43" s="14" t="s">
        <v>18</v>
      </c>
      <c r="B43" s="99" t="s">
        <v>53</v>
      </c>
      <c r="C43" s="162" t="s">
        <v>62</v>
      </c>
      <c r="D43" s="33" t="s">
        <v>62</v>
      </c>
      <c r="E43" s="33" t="s">
        <v>62</v>
      </c>
      <c r="F43" s="163" t="s">
        <v>62</v>
      </c>
      <c r="G43" s="58"/>
    </row>
    <row r="44" spans="1:7" ht="18" hidden="1" x14ac:dyDescent="0.4">
      <c r="A44" s="14" t="s">
        <v>19</v>
      </c>
      <c r="B44" s="99" t="s">
        <v>53</v>
      </c>
      <c r="C44" s="171" t="s">
        <v>63</v>
      </c>
      <c r="D44" s="172" t="s">
        <v>63</v>
      </c>
      <c r="E44" s="172" t="s">
        <v>63</v>
      </c>
      <c r="F44" s="173" t="s">
        <v>63</v>
      </c>
      <c r="G44" s="58"/>
    </row>
    <row r="45" spans="1:7" ht="18.75" hidden="1" thickBot="1" x14ac:dyDescent="0.45">
      <c r="A45" s="27" t="s">
        <v>20</v>
      </c>
      <c r="B45" s="99" t="s">
        <v>53</v>
      </c>
      <c r="C45" s="162" t="s">
        <v>62</v>
      </c>
      <c r="D45" s="33" t="s">
        <v>62</v>
      </c>
      <c r="E45" s="33" t="s">
        <v>62</v>
      </c>
      <c r="F45" s="163" t="s">
        <v>62</v>
      </c>
      <c r="G45" s="58"/>
    </row>
    <row r="46" spans="1:7" ht="18.75" hidden="1" thickBot="1" x14ac:dyDescent="0.45">
      <c r="A46" s="34" t="s">
        <v>57</v>
      </c>
      <c r="B46" s="100" t="s">
        <v>53</v>
      </c>
      <c r="C46" s="41">
        <f>COUNTIF(C26:C45,"Sí")</f>
        <v>2</v>
      </c>
      <c r="D46" s="37">
        <f t="shared" ref="D46:F46" si="3">COUNTIF(D26:D45,"Sí")</f>
        <v>2</v>
      </c>
      <c r="E46" s="37">
        <f t="shared" si="3"/>
        <v>2</v>
      </c>
      <c r="F46" s="42">
        <f t="shared" si="3"/>
        <v>2</v>
      </c>
      <c r="G46" s="36"/>
    </row>
    <row r="47" spans="1:7" ht="18" hidden="1" x14ac:dyDescent="0.4">
      <c r="A47" s="25" t="s">
        <v>1</v>
      </c>
      <c r="B47" s="99" t="s">
        <v>54</v>
      </c>
      <c r="C47" s="168" t="s">
        <v>62</v>
      </c>
      <c r="D47" s="169" t="s">
        <v>62</v>
      </c>
      <c r="E47" s="169" t="s">
        <v>62</v>
      </c>
      <c r="F47" s="170" t="s">
        <v>62</v>
      </c>
      <c r="G47" s="58"/>
    </row>
    <row r="48" spans="1:7" ht="18" hidden="1" x14ac:dyDescent="0.4">
      <c r="A48" s="14" t="s">
        <v>2</v>
      </c>
      <c r="B48" s="99" t="s">
        <v>54</v>
      </c>
      <c r="C48" s="162" t="s">
        <v>62</v>
      </c>
      <c r="D48" s="33" t="s">
        <v>62</v>
      </c>
      <c r="E48" s="33" t="s">
        <v>62</v>
      </c>
      <c r="F48" s="163" t="s">
        <v>62</v>
      </c>
      <c r="G48" s="58"/>
    </row>
    <row r="49" spans="1:7" ht="18" hidden="1" x14ac:dyDescent="0.4">
      <c r="A49" s="14" t="s">
        <v>3</v>
      </c>
      <c r="B49" s="99" t="s">
        <v>54</v>
      </c>
      <c r="C49" s="162" t="s">
        <v>62</v>
      </c>
      <c r="D49" s="33" t="s">
        <v>63</v>
      </c>
      <c r="E49" s="33" t="s">
        <v>63</v>
      </c>
      <c r="F49" s="163" t="s">
        <v>63</v>
      </c>
      <c r="G49" s="58"/>
    </row>
    <row r="50" spans="1:7" ht="18" hidden="1" x14ac:dyDescent="0.4">
      <c r="A50" s="14" t="s">
        <v>4</v>
      </c>
      <c r="B50" s="99" t="s">
        <v>54</v>
      </c>
      <c r="C50" s="171" t="s">
        <v>63</v>
      </c>
      <c r="D50" s="172" t="s">
        <v>63</v>
      </c>
      <c r="E50" s="172" t="s">
        <v>63</v>
      </c>
      <c r="F50" s="173" t="s">
        <v>63</v>
      </c>
      <c r="G50" s="58"/>
    </row>
    <row r="51" spans="1:7" ht="18" hidden="1" x14ac:dyDescent="0.4">
      <c r="A51" s="14" t="s">
        <v>5</v>
      </c>
      <c r="B51" s="99" t="s">
        <v>54</v>
      </c>
      <c r="C51" s="162" t="s">
        <v>62</v>
      </c>
      <c r="D51" s="33" t="s">
        <v>62</v>
      </c>
      <c r="E51" s="33" t="s">
        <v>62</v>
      </c>
      <c r="F51" s="163" t="s">
        <v>62</v>
      </c>
      <c r="G51" s="58"/>
    </row>
    <row r="52" spans="1:7" ht="18" hidden="1" x14ac:dyDescent="0.4">
      <c r="A52" s="14" t="s">
        <v>6</v>
      </c>
      <c r="B52" s="99" t="s">
        <v>54</v>
      </c>
      <c r="C52" s="162" t="s">
        <v>62</v>
      </c>
      <c r="D52" s="33" t="s">
        <v>62</v>
      </c>
      <c r="E52" s="33" t="s">
        <v>62</v>
      </c>
      <c r="F52" s="163" t="s">
        <v>62</v>
      </c>
      <c r="G52" s="58"/>
    </row>
    <row r="53" spans="1:7" ht="18" hidden="1" x14ac:dyDescent="0.4">
      <c r="A53" s="14" t="s">
        <v>7</v>
      </c>
      <c r="B53" s="99" t="s">
        <v>54</v>
      </c>
      <c r="C53" s="171" t="s">
        <v>63</v>
      </c>
      <c r="D53" s="172" t="s">
        <v>63</v>
      </c>
      <c r="E53" s="172" t="s">
        <v>63</v>
      </c>
      <c r="F53" s="173" t="s">
        <v>63</v>
      </c>
      <c r="G53" s="58"/>
    </row>
    <row r="54" spans="1:7" ht="18" hidden="1" x14ac:dyDescent="0.4">
      <c r="A54" s="14" t="s">
        <v>8</v>
      </c>
      <c r="B54" s="99" t="s">
        <v>54</v>
      </c>
      <c r="C54" s="162" t="s">
        <v>62</v>
      </c>
      <c r="D54" s="33" t="s">
        <v>62</v>
      </c>
      <c r="E54" s="33" t="s">
        <v>62</v>
      </c>
      <c r="F54" s="163" t="s">
        <v>62</v>
      </c>
      <c r="G54" s="58"/>
    </row>
    <row r="55" spans="1:7" ht="18" hidden="1" x14ac:dyDescent="0.4">
      <c r="A55" s="14" t="s">
        <v>9</v>
      </c>
      <c r="B55" s="99" t="s">
        <v>54</v>
      </c>
      <c r="C55" s="162" t="s">
        <v>62</v>
      </c>
      <c r="D55" s="33" t="s">
        <v>62</v>
      </c>
      <c r="E55" s="33" t="s">
        <v>62</v>
      </c>
      <c r="F55" s="163" t="s">
        <v>62</v>
      </c>
      <c r="G55" s="58"/>
    </row>
    <row r="56" spans="1:7" ht="18" hidden="1" x14ac:dyDescent="0.4">
      <c r="A56" s="14" t="s">
        <v>10</v>
      </c>
      <c r="B56" s="99" t="s">
        <v>54</v>
      </c>
      <c r="C56" s="171" t="s">
        <v>63</v>
      </c>
      <c r="D56" s="172" t="s">
        <v>63</v>
      </c>
      <c r="E56" s="172" t="s">
        <v>63</v>
      </c>
      <c r="F56" s="173" t="s">
        <v>63</v>
      </c>
      <c r="G56" s="58"/>
    </row>
    <row r="57" spans="1:7" ht="18" hidden="1" x14ac:dyDescent="0.4">
      <c r="A57" s="14" t="s">
        <v>11</v>
      </c>
      <c r="B57" s="99" t="s">
        <v>54</v>
      </c>
      <c r="C57" s="162" t="s">
        <v>62</v>
      </c>
      <c r="D57" s="33" t="s">
        <v>62</v>
      </c>
      <c r="E57" s="33" t="s">
        <v>62</v>
      </c>
      <c r="F57" s="163" t="s">
        <v>62</v>
      </c>
      <c r="G57" s="58"/>
    </row>
    <row r="58" spans="1:7" ht="18" hidden="1" x14ac:dyDescent="0.4">
      <c r="A58" s="14" t="s">
        <v>12</v>
      </c>
      <c r="B58" s="99" t="s">
        <v>54</v>
      </c>
      <c r="C58" s="162" t="s">
        <v>62</v>
      </c>
      <c r="D58" s="33" t="s">
        <v>62</v>
      </c>
      <c r="E58" s="33" t="s">
        <v>62</v>
      </c>
      <c r="F58" s="163" t="s">
        <v>62</v>
      </c>
      <c r="G58" s="58"/>
    </row>
    <row r="59" spans="1:7" ht="18" hidden="1" x14ac:dyDescent="0.4">
      <c r="A59" s="14" t="s">
        <v>13</v>
      </c>
      <c r="B59" s="99" t="s">
        <v>54</v>
      </c>
      <c r="C59" s="171" t="s">
        <v>63</v>
      </c>
      <c r="D59" s="172" t="s">
        <v>63</v>
      </c>
      <c r="E59" s="172" t="s">
        <v>63</v>
      </c>
      <c r="F59" s="173" t="s">
        <v>63</v>
      </c>
      <c r="G59" s="58"/>
    </row>
    <row r="60" spans="1:7" ht="18" hidden="1" x14ac:dyDescent="0.4">
      <c r="A60" s="14" t="s">
        <v>14</v>
      </c>
      <c r="B60" s="99" t="s">
        <v>54</v>
      </c>
      <c r="C60" s="162" t="s">
        <v>62</v>
      </c>
      <c r="D60" s="33" t="s">
        <v>62</v>
      </c>
      <c r="E60" s="33" t="s">
        <v>62</v>
      </c>
      <c r="F60" s="163" t="s">
        <v>62</v>
      </c>
      <c r="G60" s="58"/>
    </row>
    <row r="61" spans="1:7" ht="18" hidden="1" x14ac:dyDescent="0.4">
      <c r="A61" s="14" t="s">
        <v>15</v>
      </c>
      <c r="B61" s="99" t="s">
        <v>54</v>
      </c>
      <c r="C61" s="171" t="s">
        <v>63</v>
      </c>
      <c r="D61" s="172" t="s">
        <v>63</v>
      </c>
      <c r="E61" s="172" t="s">
        <v>63</v>
      </c>
      <c r="F61" s="173" t="s">
        <v>63</v>
      </c>
      <c r="G61" s="58"/>
    </row>
    <row r="62" spans="1:7" ht="18" hidden="1" x14ac:dyDescent="0.4">
      <c r="A62" s="14" t="s">
        <v>16</v>
      </c>
      <c r="B62" s="99" t="s">
        <v>54</v>
      </c>
      <c r="C62" s="162" t="s">
        <v>62</v>
      </c>
      <c r="D62" s="172" t="s">
        <v>63</v>
      </c>
      <c r="E62" s="172" t="s">
        <v>63</v>
      </c>
      <c r="F62" s="173" t="s">
        <v>63</v>
      </c>
      <c r="G62" s="58"/>
    </row>
    <row r="63" spans="1:7" ht="18" hidden="1" x14ac:dyDescent="0.4">
      <c r="A63" s="14" t="s">
        <v>17</v>
      </c>
      <c r="B63" s="99" t="s">
        <v>54</v>
      </c>
      <c r="C63" s="171" t="s">
        <v>63</v>
      </c>
      <c r="D63" s="172" t="s">
        <v>63</v>
      </c>
      <c r="E63" s="172" t="s">
        <v>63</v>
      </c>
      <c r="F63" s="173" t="s">
        <v>63</v>
      </c>
      <c r="G63" s="58"/>
    </row>
    <row r="64" spans="1:7" ht="18" hidden="1" x14ac:dyDescent="0.4">
      <c r="A64" s="14" t="s">
        <v>18</v>
      </c>
      <c r="B64" s="99" t="s">
        <v>54</v>
      </c>
      <c r="C64" s="162" t="s">
        <v>62</v>
      </c>
      <c r="D64" s="33" t="s">
        <v>62</v>
      </c>
      <c r="E64" s="33" t="s">
        <v>62</v>
      </c>
      <c r="F64" s="163" t="s">
        <v>62</v>
      </c>
      <c r="G64" s="58"/>
    </row>
    <row r="65" spans="1:7" ht="18" hidden="1" x14ac:dyDescent="0.4">
      <c r="A65" s="14" t="s">
        <v>19</v>
      </c>
      <c r="B65" s="99" t="s">
        <v>54</v>
      </c>
      <c r="C65" s="171" t="s">
        <v>63</v>
      </c>
      <c r="D65" s="172" t="s">
        <v>63</v>
      </c>
      <c r="E65" s="172" t="s">
        <v>63</v>
      </c>
      <c r="F65" s="173" t="s">
        <v>63</v>
      </c>
      <c r="G65" s="58"/>
    </row>
    <row r="66" spans="1:7" ht="18.75" hidden="1" thickBot="1" x14ac:dyDescent="0.45">
      <c r="A66" s="27" t="s">
        <v>20</v>
      </c>
      <c r="B66" s="99" t="s">
        <v>54</v>
      </c>
      <c r="C66" s="174" t="s">
        <v>63</v>
      </c>
      <c r="D66" s="175" t="s">
        <v>63</v>
      </c>
      <c r="E66" s="175" t="s">
        <v>63</v>
      </c>
      <c r="F66" s="176" t="s">
        <v>63</v>
      </c>
      <c r="G66" s="58"/>
    </row>
    <row r="67" spans="1:7" s="9" customFormat="1" ht="36.75" hidden="1" thickBot="1" x14ac:dyDescent="0.45">
      <c r="A67" s="151" t="s">
        <v>59</v>
      </c>
      <c r="B67" s="100" t="s">
        <v>54</v>
      </c>
      <c r="C67" s="152">
        <f>COUNTIF(C47:C66,"Sí")</f>
        <v>8</v>
      </c>
      <c r="D67" s="153">
        <f t="shared" ref="D67:F67" si="4">COUNTIF(D47:D66,"Sí")</f>
        <v>10</v>
      </c>
      <c r="E67" s="153">
        <f t="shared" si="4"/>
        <v>10</v>
      </c>
      <c r="F67" s="154">
        <f t="shared" si="4"/>
        <v>10</v>
      </c>
      <c r="G67" s="155"/>
    </row>
    <row r="68" spans="1:7" ht="18" hidden="1" x14ac:dyDescent="0.4">
      <c r="A68" s="25" t="s">
        <v>1</v>
      </c>
      <c r="B68" s="77" t="s">
        <v>55</v>
      </c>
      <c r="C68" s="177" t="s">
        <v>63</v>
      </c>
      <c r="D68" s="178" t="s">
        <v>63</v>
      </c>
      <c r="E68" s="178" t="s">
        <v>63</v>
      </c>
      <c r="F68" s="179" t="s">
        <v>63</v>
      </c>
      <c r="G68" s="58"/>
    </row>
    <row r="69" spans="1:7" ht="18" hidden="1" x14ac:dyDescent="0.4">
      <c r="A69" s="14" t="s">
        <v>2</v>
      </c>
      <c r="B69" s="77" t="s">
        <v>55</v>
      </c>
      <c r="C69" s="171" t="s">
        <v>63</v>
      </c>
      <c r="D69" s="172" t="s">
        <v>63</v>
      </c>
      <c r="E69" s="172" t="s">
        <v>63</v>
      </c>
      <c r="F69" s="173" t="s">
        <v>63</v>
      </c>
      <c r="G69" s="58"/>
    </row>
    <row r="70" spans="1:7" ht="18" hidden="1" x14ac:dyDescent="0.4">
      <c r="A70" s="14" t="s">
        <v>3</v>
      </c>
      <c r="B70" s="77" t="s">
        <v>55</v>
      </c>
      <c r="C70" s="162" t="s">
        <v>62</v>
      </c>
      <c r="D70" s="172" t="s">
        <v>63</v>
      </c>
      <c r="E70" s="172" t="s">
        <v>63</v>
      </c>
      <c r="F70" s="173" t="s">
        <v>63</v>
      </c>
      <c r="G70" s="58"/>
    </row>
    <row r="71" spans="1:7" ht="18" hidden="1" x14ac:dyDescent="0.4">
      <c r="A71" s="14" t="s">
        <v>4</v>
      </c>
      <c r="B71" s="77" t="s">
        <v>55</v>
      </c>
      <c r="C71" s="162" t="s">
        <v>62</v>
      </c>
      <c r="D71" s="33" t="s">
        <v>62</v>
      </c>
      <c r="E71" s="172" t="s">
        <v>63</v>
      </c>
      <c r="F71" s="173" t="s">
        <v>63</v>
      </c>
      <c r="G71" s="58"/>
    </row>
    <row r="72" spans="1:7" ht="18" hidden="1" x14ac:dyDescent="0.4">
      <c r="A72" s="14" t="s">
        <v>5</v>
      </c>
      <c r="B72" s="77" t="s">
        <v>55</v>
      </c>
      <c r="C72" s="171" t="s">
        <v>63</v>
      </c>
      <c r="D72" s="172" t="s">
        <v>63</v>
      </c>
      <c r="E72" s="172" t="s">
        <v>63</v>
      </c>
      <c r="F72" s="173" t="s">
        <v>63</v>
      </c>
      <c r="G72" s="58"/>
    </row>
    <row r="73" spans="1:7" ht="18" hidden="1" x14ac:dyDescent="0.4">
      <c r="A73" s="14" t="s">
        <v>6</v>
      </c>
      <c r="B73" s="77" t="s">
        <v>55</v>
      </c>
      <c r="C73" s="171" t="s">
        <v>63</v>
      </c>
      <c r="D73" s="172" t="s">
        <v>63</v>
      </c>
      <c r="E73" s="172" t="s">
        <v>63</v>
      </c>
      <c r="F73" s="173" t="s">
        <v>63</v>
      </c>
      <c r="G73" s="58"/>
    </row>
    <row r="74" spans="1:7" ht="18" hidden="1" x14ac:dyDescent="0.4">
      <c r="A74" s="14" t="s">
        <v>7</v>
      </c>
      <c r="B74" s="77" t="s">
        <v>55</v>
      </c>
      <c r="C74" s="162" t="s">
        <v>62</v>
      </c>
      <c r="D74" s="33" t="s">
        <v>62</v>
      </c>
      <c r="E74" s="172" t="s">
        <v>63</v>
      </c>
      <c r="F74" s="173" t="s">
        <v>63</v>
      </c>
      <c r="G74" s="58"/>
    </row>
    <row r="75" spans="1:7" ht="18" hidden="1" x14ac:dyDescent="0.4">
      <c r="A75" s="14" t="s">
        <v>8</v>
      </c>
      <c r="B75" s="77" t="s">
        <v>55</v>
      </c>
      <c r="C75" s="162" t="s">
        <v>62</v>
      </c>
      <c r="D75" s="33" t="s">
        <v>62</v>
      </c>
      <c r="E75" s="33" t="s">
        <v>65</v>
      </c>
      <c r="F75" s="173" t="s">
        <v>63</v>
      </c>
      <c r="G75" s="58"/>
    </row>
    <row r="76" spans="1:7" ht="18" hidden="1" x14ac:dyDescent="0.4">
      <c r="A76" s="14" t="s">
        <v>9</v>
      </c>
      <c r="B76" s="77" t="s">
        <v>55</v>
      </c>
      <c r="C76" s="162" t="s">
        <v>62</v>
      </c>
      <c r="D76" s="33" t="s">
        <v>62</v>
      </c>
      <c r="E76" s="172" t="s">
        <v>63</v>
      </c>
      <c r="F76" s="173" t="s">
        <v>63</v>
      </c>
      <c r="G76" s="58"/>
    </row>
    <row r="77" spans="1:7" ht="18" hidden="1" x14ac:dyDescent="0.4">
      <c r="A77" s="14" t="s">
        <v>10</v>
      </c>
      <c r="B77" s="77" t="s">
        <v>55</v>
      </c>
      <c r="C77" s="162" t="s">
        <v>62</v>
      </c>
      <c r="D77" s="33" t="s">
        <v>62</v>
      </c>
      <c r="E77" s="33" t="s">
        <v>65</v>
      </c>
      <c r="F77" s="173" t="s">
        <v>63</v>
      </c>
      <c r="G77" s="58"/>
    </row>
    <row r="78" spans="1:7" ht="18" hidden="1" x14ac:dyDescent="0.4">
      <c r="A78" s="14" t="s">
        <v>11</v>
      </c>
      <c r="B78" s="77" t="s">
        <v>55</v>
      </c>
      <c r="C78" s="162" t="s">
        <v>62</v>
      </c>
      <c r="D78" s="33" t="s">
        <v>62</v>
      </c>
      <c r="E78" s="30" t="s">
        <v>64</v>
      </c>
      <c r="F78" s="173" t="s">
        <v>63</v>
      </c>
      <c r="G78" s="58"/>
    </row>
    <row r="79" spans="1:7" ht="18" hidden="1" x14ac:dyDescent="0.4">
      <c r="A79" s="14" t="s">
        <v>12</v>
      </c>
      <c r="B79" s="77" t="s">
        <v>55</v>
      </c>
      <c r="C79" s="171" t="s">
        <v>63</v>
      </c>
      <c r="D79" s="172" t="s">
        <v>63</v>
      </c>
      <c r="E79" s="172" t="s">
        <v>63</v>
      </c>
      <c r="F79" s="173" t="s">
        <v>63</v>
      </c>
      <c r="G79" s="58"/>
    </row>
    <row r="80" spans="1:7" ht="18" hidden="1" x14ac:dyDescent="0.4">
      <c r="A80" s="14" t="s">
        <v>13</v>
      </c>
      <c r="B80" s="77" t="s">
        <v>55</v>
      </c>
      <c r="C80" s="171" t="s">
        <v>63</v>
      </c>
      <c r="D80" s="172" t="s">
        <v>63</v>
      </c>
      <c r="E80" s="172" t="s">
        <v>63</v>
      </c>
      <c r="F80" s="173" t="s">
        <v>63</v>
      </c>
      <c r="G80" s="58"/>
    </row>
    <row r="81" spans="1:7" ht="18" hidden="1" x14ac:dyDescent="0.4">
      <c r="A81" s="14" t="s">
        <v>14</v>
      </c>
      <c r="B81" s="77" t="s">
        <v>55</v>
      </c>
      <c r="C81" s="162" t="s">
        <v>62</v>
      </c>
      <c r="D81" s="33" t="s">
        <v>62</v>
      </c>
      <c r="E81" s="172" t="s">
        <v>63</v>
      </c>
      <c r="F81" s="173" t="s">
        <v>63</v>
      </c>
      <c r="G81" s="58"/>
    </row>
    <row r="82" spans="1:7" ht="18" hidden="1" x14ac:dyDescent="0.4">
      <c r="A82" s="14" t="s">
        <v>15</v>
      </c>
      <c r="B82" s="77" t="s">
        <v>55</v>
      </c>
      <c r="C82" s="171" t="s">
        <v>63</v>
      </c>
      <c r="D82" s="172" t="s">
        <v>63</v>
      </c>
      <c r="E82" s="172" t="s">
        <v>63</v>
      </c>
      <c r="F82" s="173" t="s">
        <v>63</v>
      </c>
      <c r="G82" s="58"/>
    </row>
    <row r="83" spans="1:7" ht="18" hidden="1" x14ac:dyDescent="0.4">
      <c r="A83" s="14" t="s">
        <v>16</v>
      </c>
      <c r="B83" s="77" t="s">
        <v>55</v>
      </c>
      <c r="C83" s="171" t="s">
        <v>63</v>
      </c>
      <c r="D83" s="172" t="s">
        <v>63</v>
      </c>
      <c r="E83" s="172" t="s">
        <v>63</v>
      </c>
      <c r="F83" s="173" t="s">
        <v>63</v>
      </c>
      <c r="G83" s="58"/>
    </row>
    <row r="84" spans="1:7" ht="18" hidden="1" x14ac:dyDescent="0.4">
      <c r="A84" s="14" t="s">
        <v>17</v>
      </c>
      <c r="B84" s="77" t="s">
        <v>55</v>
      </c>
      <c r="C84" s="171" t="s">
        <v>63</v>
      </c>
      <c r="D84" s="172" t="s">
        <v>63</v>
      </c>
      <c r="E84" s="172" t="s">
        <v>63</v>
      </c>
      <c r="F84" s="173" t="s">
        <v>63</v>
      </c>
      <c r="G84" s="58"/>
    </row>
    <row r="85" spans="1:7" ht="18" hidden="1" x14ac:dyDescent="0.4">
      <c r="A85" s="14" t="s">
        <v>18</v>
      </c>
      <c r="B85" s="77" t="s">
        <v>55</v>
      </c>
      <c r="C85" s="171" t="s">
        <v>63</v>
      </c>
      <c r="D85" s="172" t="s">
        <v>63</v>
      </c>
      <c r="E85" s="172" t="s">
        <v>63</v>
      </c>
      <c r="F85" s="173" t="s">
        <v>63</v>
      </c>
      <c r="G85" s="58"/>
    </row>
    <row r="86" spans="1:7" ht="18" hidden="1" x14ac:dyDescent="0.4">
      <c r="A86" s="14" t="s">
        <v>19</v>
      </c>
      <c r="B86" s="77" t="s">
        <v>55</v>
      </c>
      <c r="C86" s="162" t="s">
        <v>62</v>
      </c>
      <c r="D86" s="172" t="s">
        <v>63</v>
      </c>
      <c r="E86" s="172" t="s">
        <v>63</v>
      </c>
      <c r="F86" s="173" t="s">
        <v>63</v>
      </c>
      <c r="G86" s="58"/>
    </row>
    <row r="87" spans="1:7" ht="18.75" hidden="1" thickBot="1" x14ac:dyDescent="0.45">
      <c r="A87" s="27" t="s">
        <v>20</v>
      </c>
      <c r="B87" s="77" t="s">
        <v>55</v>
      </c>
      <c r="C87" s="174" t="s">
        <v>63</v>
      </c>
      <c r="D87" s="175" t="s">
        <v>63</v>
      </c>
      <c r="E87" s="175" t="s">
        <v>63</v>
      </c>
      <c r="F87" s="176" t="s">
        <v>63</v>
      </c>
      <c r="G87" s="58"/>
    </row>
    <row r="88" spans="1:7" ht="18.75" hidden="1" thickBot="1" x14ac:dyDescent="0.45">
      <c r="A88" s="156" t="s">
        <v>60</v>
      </c>
      <c r="B88" s="150" t="s">
        <v>55</v>
      </c>
      <c r="C88" s="41">
        <f>COUNTIF(C68:C87,"Sí")</f>
        <v>11</v>
      </c>
      <c r="D88" s="37">
        <f t="shared" ref="D88" si="5">COUNTIF(D68:D87,"Sí")</f>
        <v>13</v>
      </c>
      <c r="E88" s="37">
        <f t="shared" ref="E88" si="6">COUNTIF(E68:E87,"Sí")</f>
        <v>17</v>
      </c>
      <c r="F88" s="42">
        <f t="shared" ref="F88" si="7">COUNTIF(F68:F87,"Sí")</f>
        <v>20</v>
      </c>
      <c r="G88" s="36"/>
    </row>
    <row r="89" spans="1:7" ht="18" hidden="1" x14ac:dyDescent="0.4">
      <c r="A89" s="68" t="s">
        <v>1</v>
      </c>
      <c r="B89" s="76" t="s">
        <v>56</v>
      </c>
      <c r="C89" s="177" t="s">
        <v>63</v>
      </c>
      <c r="D89" s="178" t="s">
        <v>63</v>
      </c>
      <c r="E89" s="178" t="s">
        <v>63</v>
      </c>
      <c r="F89" s="179" t="s">
        <v>63</v>
      </c>
      <c r="G89" s="58"/>
    </row>
    <row r="90" spans="1:7" ht="18" hidden="1" x14ac:dyDescent="0.4">
      <c r="A90" s="69" t="s">
        <v>2</v>
      </c>
      <c r="B90" s="77" t="s">
        <v>56</v>
      </c>
      <c r="C90" s="162" t="s">
        <v>62</v>
      </c>
      <c r="D90" s="33"/>
      <c r="E90" s="33"/>
      <c r="F90" s="163"/>
      <c r="G90" s="58"/>
    </row>
    <row r="91" spans="1:7" ht="18" hidden="1" x14ac:dyDescent="0.4">
      <c r="A91" s="69" t="s">
        <v>3</v>
      </c>
      <c r="B91" s="77" t="s">
        <v>56</v>
      </c>
      <c r="C91" s="162" t="s">
        <v>62</v>
      </c>
      <c r="D91" s="33" t="s">
        <v>62</v>
      </c>
      <c r="E91" s="33" t="s">
        <v>62</v>
      </c>
      <c r="F91" s="163" t="s">
        <v>62</v>
      </c>
      <c r="G91" s="58"/>
    </row>
    <row r="92" spans="1:7" ht="18" hidden="1" x14ac:dyDescent="0.4">
      <c r="A92" s="69" t="s">
        <v>4</v>
      </c>
      <c r="B92" s="77" t="s">
        <v>56</v>
      </c>
      <c r="C92" s="171" t="s">
        <v>63</v>
      </c>
      <c r="D92" s="172" t="s">
        <v>63</v>
      </c>
      <c r="E92" s="172" t="s">
        <v>63</v>
      </c>
      <c r="F92" s="173" t="s">
        <v>63</v>
      </c>
      <c r="G92" s="58"/>
    </row>
    <row r="93" spans="1:7" ht="18" hidden="1" x14ac:dyDescent="0.4">
      <c r="A93" s="69" t="s">
        <v>5</v>
      </c>
      <c r="B93" s="77" t="s">
        <v>56</v>
      </c>
      <c r="C93" s="162" t="s">
        <v>62</v>
      </c>
      <c r="D93" s="33" t="s">
        <v>62</v>
      </c>
      <c r="E93" s="33" t="s">
        <v>62</v>
      </c>
      <c r="F93" s="163" t="s">
        <v>62</v>
      </c>
      <c r="G93" s="58"/>
    </row>
    <row r="94" spans="1:7" ht="18" hidden="1" x14ac:dyDescent="0.4">
      <c r="A94" s="69" t="s">
        <v>6</v>
      </c>
      <c r="B94" s="77" t="s">
        <v>56</v>
      </c>
      <c r="C94" s="162" t="s">
        <v>62</v>
      </c>
      <c r="D94" s="33" t="s">
        <v>62</v>
      </c>
      <c r="E94" s="33" t="s">
        <v>62</v>
      </c>
      <c r="F94" s="163" t="s">
        <v>62</v>
      </c>
      <c r="G94" s="58"/>
    </row>
    <row r="95" spans="1:7" ht="18" hidden="1" x14ac:dyDescent="0.4">
      <c r="A95" s="69" t="s">
        <v>7</v>
      </c>
      <c r="B95" s="77" t="s">
        <v>56</v>
      </c>
      <c r="C95" s="162" t="s">
        <v>62</v>
      </c>
      <c r="D95" s="33"/>
      <c r="E95" s="33"/>
      <c r="F95" s="163"/>
      <c r="G95" s="58"/>
    </row>
    <row r="96" spans="1:7" ht="18" hidden="1" x14ac:dyDescent="0.4">
      <c r="A96" s="69" t="s">
        <v>8</v>
      </c>
      <c r="B96" s="77" t="s">
        <v>56</v>
      </c>
      <c r="C96" s="171" t="s">
        <v>63</v>
      </c>
      <c r="D96" s="33" t="s">
        <v>62</v>
      </c>
      <c r="E96" s="33" t="s">
        <v>62</v>
      </c>
      <c r="F96" s="163" t="s">
        <v>62</v>
      </c>
      <c r="G96" s="58"/>
    </row>
    <row r="97" spans="1:7" ht="18" hidden="1" x14ac:dyDescent="0.4">
      <c r="A97" s="69" t="s">
        <v>9</v>
      </c>
      <c r="B97" s="77" t="s">
        <v>56</v>
      </c>
      <c r="C97" s="162" t="s">
        <v>62</v>
      </c>
      <c r="D97" s="33" t="s">
        <v>62</v>
      </c>
      <c r="E97" s="33" t="s">
        <v>62</v>
      </c>
      <c r="F97" s="163" t="s">
        <v>62</v>
      </c>
      <c r="G97" s="58"/>
    </row>
    <row r="98" spans="1:7" ht="18" hidden="1" x14ac:dyDescent="0.4">
      <c r="A98" s="69" t="s">
        <v>10</v>
      </c>
      <c r="B98" s="77" t="s">
        <v>56</v>
      </c>
      <c r="C98" s="162" t="s">
        <v>62</v>
      </c>
      <c r="D98" s="33"/>
      <c r="E98" s="33"/>
      <c r="F98" s="163"/>
      <c r="G98" s="58"/>
    </row>
    <row r="99" spans="1:7" ht="18" hidden="1" x14ac:dyDescent="0.4">
      <c r="A99" s="69" t="s">
        <v>11</v>
      </c>
      <c r="B99" s="77" t="s">
        <v>56</v>
      </c>
      <c r="C99" s="162" t="s">
        <v>62</v>
      </c>
      <c r="D99" s="33"/>
      <c r="E99" s="33"/>
      <c r="F99" s="163"/>
      <c r="G99" s="58"/>
    </row>
    <row r="100" spans="1:7" ht="18" hidden="1" x14ac:dyDescent="0.4">
      <c r="A100" s="69" t="s">
        <v>12</v>
      </c>
      <c r="B100" s="77" t="s">
        <v>56</v>
      </c>
      <c r="C100" s="171" t="s">
        <v>63</v>
      </c>
      <c r="D100" s="33"/>
      <c r="E100" s="33"/>
      <c r="F100" s="163"/>
      <c r="G100" s="58"/>
    </row>
    <row r="101" spans="1:7" ht="18" hidden="1" x14ac:dyDescent="0.4">
      <c r="A101" s="69" t="s">
        <v>13</v>
      </c>
      <c r="B101" s="77" t="s">
        <v>56</v>
      </c>
      <c r="C101" s="162" t="s">
        <v>62</v>
      </c>
      <c r="D101" s="33" t="s">
        <v>62</v>
      </c>
      <c r="E101" s="33" t="s">
        <v>62</v>
      </c>
      <c r="F101" s="163" t="s">
        <v>62</v>
      </c>
      <c r="G101" s="58"/>
    </row>
    <row r="102" spans="1:7" ht="18" hidden="1" x14ac:dyDescent="0.4">
      <c r="A102" s="69" t="s">
        <v>14</v>
      </c>
      <c r="B102" s="77" t="s">
        <v>56</v>
      </c>
      <c r="C102" s="162" t="s">
        <v>62</v>
      </c>
      <c r="D102" s="33"/>
      <c r="E102" s="33"/>
      <c r="F102" s="163"/>
      <c r="G102" s="58"/>
    </row>
    <row r="103" spans="1:7" ht="18" hidden="1" x14ac:dyDescent="0.4">
      <c r="A103" s="69" t="s">
        <v>15</v>
      </c>
      <c r="B103" s="77" t="s">
        <v>56</v>
      </c>
      <c r="C103" s="162" t="s">
        <v>62</v>
      </c>
      <c r="D103" s="33" t="s">
        <v>62</v>
      </c>
      <c r="E103" s="33" t="s">
        <v>62</v>
      </c>
      <c r="F103" s="163" t="s">
        <v>62</v>
      </c>
      <c r="G103" s="58"/>
    </row>
    <row r="104" spans="1:7" ht="18" hidden="1" x14ac:dyDescent="0.4">
      <c r="A104" s="69" t="s">
        <v>16</v>
      </c>
      <c r="B104" s="77" t="s">
        <v>56</v>
      </c>
      <c r="C104" s="171" t="s">
        <v>63</v>
      </c>
      <c r="D104" s="172" t="s">
        <v>63</v>
      </c>
      <c r="E104" s="172" t="s">
        <v>63</v>
      </c>
      <c r="F104" s="173" t="s">
        <v>63</v>
      </c>
      <c r="G104" s="58"/>
    </row>
    <row r="105" spans="1:7" ht="18" hidden="1" x14ac:dyDescent="0.4">
      <c r="A105" s="69" t="s">
        <v>17</v>
      </c>
      <c r="B105" s="77" t="s">
        <v>56</v>
      </c>
      <c r="C105" s="162" t="s">
        <v>62</v>
      </c>
      <c r="D105" s="33" t="s">
        <v>62</v>
      </c>
      <c r="E105" s="33" t="s">
        <v>62</v>
      </c>
      <c r="F105" s="163" t="s">
        <v>62</v>
      </c>
      <c r="G105" s="58"/>
    </row>
    <row r="106" spans="1:7" ht="18" hidden="1" x14ac:dyDescent="0.4">
      <c r="A106" s="69" t="s">
        <v>18</v>
      </c>
      <c r="B106" s="77" t="s">
        <v>56</v>
      </c>
      <c r="C106" s="162" t="s">
        <v>62</v>
      </c>
      <c r="D106" s="33"/>
      <c r="E106" s="33"/>
      <c r="F106" s="163"/>
      <c r="G106" s="58"/>
    </row>
    <row r="107" spans="1:7" ht="18" hidden="1" x14ac:dyDescent="0.4">
      <c r="A107" s="69" t="s">
        <v>19</v>
      </c>
      <c r="B107" s="77" t="s">
        <v>56</v>
      </c>
      <c r="C107" s="171" t="s">
        <v>63</v>
      </c>
      <c r="D107" s="172" t="s">
        <v>63</v>
      </c>
      <c r="E107" s="172" t="s">
        <v>63</v>
      </c>
      <c r="F107" s="173" t="s">
        <v>63</v>
      </c>
      <c r="G107" s="58"/>
    </row>
    <row r="108" spans="1:7" ht="18.75" hidden="1" thickBot="1" x14ac:dyDescent="0.45">
      <c r="A108" s="70" t="s">
        <v>20</v>
      </c>
      <c r="B108" s="78" t="s">
        <v>56</v>
      </c>
      <c r="C108" s="174" t="s">
        <v>63</v>
      </c>
      <c r="D108" s="175" t="s">
        <v>63</v>
      </c>
      <c r="E108" s="175" t="s">
        <v>63</v>
      </c>
      <c r="F108" s="176" t="s">
        <v>63</v>
      </c>
      <c r="G108" s="58"/>
    </row>
    <row r="109" spans="1:7" ht="18.75" hidden="1" thickBot="1" x14ac:dyDescent="0.45">
      <c r="A109" s="156" t="s">
        <v>61</v>
      </c>
      <c r="B109" s="150" t="s">
        <v>56</v>
      </c>
      <c r="C109" s="43">
        <f>COUNTIF(C89:C108,"Sí")</f>
        <v>7</v>
      </c>
      <c r="D109" s="38">
        <f t="shared" ref="D109" si="8">COUNTIF(D89:D108,"Sí")</f>
        <v>5</v>
      </c>
      <c r="E109" s="38">
        <f t="shared" ref="E109" si="9">COUNTIF(E89:E108,"Sí")</f>
        <v>5</v>
      </c>
      <c r="F109" s="44">
        <f t="shared" ref="F109" si="10">COUNTIF(F89:F108,"Sí")</f>
        <v>5</v>
      </c>
      <c r="G109" s="36"/>
    </row>
    <row r="110" spans="1:7" x14ac:dyDescent="0.25">
      <c r="A110" s="135"/>
      <c r="B110" s="135"/>
    </row>
    <row r="111" spans="1:7" x14ac:dyDescent="0.25">
      <c r="A111" s="135"/>
      <c r="B111" s="135"/>
    </row>
    <row r="112" spans="1:7" x14ac:dyDescent="0.25">
      <c r="A112" s="135"/>
      <c r="B112" s="135"/>
    </row>
    <row r="113" spans="1:2" x14ac:dyDescent="0.25">
      <c r="A113" s="135"/>
      <c r="B113" s="135"/>
    </row>
    <row r="114" spans="1:2" x14ac:dyDescent="0.25">
      <c r="A114" s="135"/>
      <c r="B114" s="135"/>
    </row>
    <row r="115" spans="1:2" x14ac:dyDescent="0.25">
      <c r="A115" s="135"/>
      <c r="B115" s="135"/>
    </row>
    <row r="116" spans="1:2" x14ac:dyDescent="0.25">
      <c r="A116" s="135"/>
      <c r="B116" s="135"/>
    </row>
    <row r="117" spans="1:2" x14ac:dyDescent="0.25">
      <c r="A117" s="135"/>
      <c r="B117" s="135"/>
    </row>
    <row r="118" spans="1:2" x14ac:dyDescent="0.25">
      <c r="A118" s="135"/>
      <c r="B118" s="135"/>
    </row>
    <row r="119" spans="1:2" x14ac:dyDescent="0.25">
      <c r="A119" s="135"/>
      <c r="B119" s="135"/>
    </row>
    <row r="120" spans="1:2" x14ac:dyDescent="0.25">
      <c r="A120" s="135"/>
      <c r="B120" s="135"/>
    </row>
    <row r="121" spans="1:2" x14ac:dyDescent="0.25">
      <c r="A121" s="135"/>
      <c r="B121" s="135"/>
    </row>
    <row r="122" spans="1:2" x14ac:dyDescent="0.25">
      <c r="A122" s="135"/>
      <c r="B122" s="135"/>
    </row>
    <row r="123" spans="1:2" x14ac:dyDescent="0.25">
      <c r="A123" s="135"/>
      <c r="B123" s="135"/>
    </row>
    <row r="124" spans="1:2" x14ac:dyDescent="0.25">
      <c r="A124" s="135"/>
      <c r="B124" s="135"/>
    </row>
    <row r="125" spans="1:2" x14ac:dyDescent="0.25">
      <c r="A125" s="135"/>
      <c r="B125" s="135"/>
    </row>
    <row r="126" spans="1:2" x14ac:dyDescent="0.25">
      <c r="A126" s="135"/>
      <c r="B126" s="135"/>
    </row>
    <row r="127" spans="1:2" x14ac:dyDescent="0.25">
      <c r="A127" s="135"/>
      <c r="B127" s="135"/>
    </row>
    <row r="128" spans="1:2" x14ac:dyDescent="0.25">
      <c r="A128" s="135"/>
      <c r="B128" s="135"/>
    </row>
    <row r="129" spans="1:2" x14ac:dyDescent="0.25">
      <c r="A129" s="135"/>
      <c r="B129" s="135"/>
    </row>
    <row r="130" spans="1:2" x14ac:dyDescent="0.25">
      <c r="A130" s="135"/>
      <c r="B130" s="135"/>
    </row>
    <row r="131" spans="1:2" x14ac:dyDescent="0.25">
      <c r="A131" s="135"/>
      <c r="B131" s="135"/>
    </row>
    <row r="132" spans="1:2" x14ac:dyDescent="0.25">
      <c r="A132" s="135"/>
      <c r="B132" s="135"/>
    </row>
    <row r="133" spans="1:2" x14ac:dyDescent="0.25">
      <c r="A133" s="135"/>
      <c r="B133" s="135"/>
    </row>
    <row r="134" spans="1:2" x14ac:dyDescent="0.25">
      <c r="A134" s="135"/>
      <c r="B134" s="135"/>
    </row>
    <row r="135" spans="1:2" x14ac:dyDescent="0.25">
      <c r="A135" s="135"/>
      <c r="B135" s="135"/>
    </row>
    <row r="136" spans="1:2" x14ac:dyDescent="0.25">
      <c r="A136" s="135"/>
      <c r="B136" s="135"/>
    </row>
    <row r="137" spans="1:2" x14ac:dyDescent="0.25">
      <c r="A137" s="135"/>
      <c r="B137" s="135"/>
    </row>
    <row r="138" spans="1:2" x14ac:dyDescent="0.25">
      <c r="A138" s="135"/>
      <c r="B138" s="135"/>
    </row>
    <row r="139" spans="1:2" x14ac:dyDescent="0.25">
      <c r="A139" s="135"/>
      <c r="B139" s="135"/>
    </row>
    <row r="140" spans="1:2" x14ac:dyDescent="0.25">
      <c r="A140" s="135"/>
      <c r="B140" s="135"/>
    </row>
    <row r="141" spans="1:2" x14ac:dyDescent="0.25">
      <c r="A141" s="135"/>
      <c r="B141" s="135"/>
    </row>
    <row r="142" spans="1:2" x14ac:dyDescent="0.25">
      <c r="A142" s="135"/>
      <c r="B142" s="135"/>
    </row>
    <row r="143" spans="1:2" x14ac:dyDescent="0.25">
      <c r="A143" s="135"/>
      <c r="B143" s="135"/>
    </row>
    <row r="144" spans="1:2" x14ac:dyDescent="0.25">
      <c r="A144" s="135"/>
      <c r="B144" s="135"/>
    </row>
    <row r="145" spans="1:2" x14ac:dyDescent="0.25">
      <c r="A145" s="135"/>
      <c r="B145" s="135"/>
    </row>
    <row r="146" spans="1:2" x14ac:dyDescent="0.25">
      <c r="A146" s="135"/>
      <c r="B146" s="135"/>
    </row>
    <row r="147" spans="1:2" x14ac:dyDescent="0.25">
      <c r="A147" s="135"/>
      <c r="B147" s="135"/>
    </row>
    <row r="148" spans="1:2" x14ac:dyDescent="0.25">
      <c r="A148" s="135"/>
      <c r="B148" s="135"/>
    </row>
    <row r="149" spans="1:2" x14ac:dyDescent="0.25">
      <c r="A149" s="135"/>
      <c r="B149" s="135"/>
    </row>
    <row r="150" spans="1:2" x14ac:dyDescent="0.25">
      <c r="A150" s="135"/>
      <c r="B150" s="135"/>
    </row>
    <row r="151" spans="1:2" x14ac:dyDescent="0.25">
      <c r="A151" s="135"/>
      <c r="B151" s="135"/>
    </row>
    <row r="152" spans="1:2" x14ac:dyDescent="0.25">
      <c r="A152" s="135"/>
      <c r="B152" s="135"/>
    </row>
    <row r="153" spans="1:2" x14ac:dyDescent="0.25">
      <c r="A153" s="135"/>
      <c r="B153" s="135"/>
    </row>
    <row r="154" spans="1:2" x14ac:dyDescent="0.25">
      <c r="A154" s="135"/>
      <c r="B154" s="135"/>
    </row>
    <row r="155" spans="1:2" x14ac:dyDescent="0.25">
      <c r="A155" s="135"/>
      <c r="B155" s="135"/>
    </row>
    <row r="156" spans="1:2" x14ac:dyDescent="0.25">
      <c r="A156" s="135"/>
      <c r="B156" s="135"/>
    </row>
    <row r="157" spans="1:2" x14ac:dyDescent="0.25">
      <c r="A157" s="135"/>
      <c r="B157" s="135"/>
    </row>
    <row r="158" spans="1:2" x14ac:dyDescent="0.25">
      <c r="A158" s="135"/>
      <c r="B158" s="135"/>
    </row>
    <row r="159" spans="1:2" x14ac:dyDescent="0.25">
      <c r="A159" s="135"/>
      <c r="B159" s="135"/>
    </row>
    <row r="160" spans="1:2" x14ac:dyDescent="0.25">
      <c r="A160" s="135"/>
      <c r="B160" s="135"/>
    </row>
    <row r="161" spans="1:2" x14ac:dyDescent="0.25">
      <c r="A161" s="135"/>
      <c r="B161" s="135"/>
    </row>
    <row r="162" spans="1:2" x14ac:dyDescent="0.25">
      <c r="A162" s="135"/>
      <c r="B162" s="135"/>
    </row>
    <row r="163" spans="1:2" x14ac:dyDescent="0.25">
      <c r="A163" s="135"/>
      <c r="B163" s="135"/>
    </row>
    <row r="164" spans="1:2" x14ac:dyDescent="0.25">
      <c r="A164" s="135"/>
      <c r="B164" s="135"/>
    </row>
    <row r="165" spans="1:2" x14ac:dyDescent="0.25">
      <c r="A165" s="135"/>
      <c r="B165" s="135"/>
    </row>
    <row r="166" spans="1:2" x14ac:dyDescent="0.25">
      <c r="A166" s="135"/>
      <c r="B166" s="135"/>
    </row>
    <row r="167" spans="1:2" x14ac:dyDescent="0.25">
      <c r="A167" s="135"/>
      <c r="B167" s="135"/>
    </row>
    <row r="168" spans="1:2" x14ac:dyDescent="0.25">
      <c r="A168" s="135"/>
      <c r="B168" s="135"/>
    </row>
    <row r="169" spans="1:2" x14ac:dyDescent="0.25">
      <c r="A169" s="135"/>
      <c r="B169" s="135"/>
    </row>
    <row r="170" spans="1:2" x14ac:dyDescent="0.25">
      <c r="A170" s="135"/>
      <c r="B170" s="135"/>
    </row>
    <row r="171" spans="1:2" x14ac:dyDescent="0.25">
      <c r="A171" s="135"/>
      <c r="B171" s="135"/>
    </row>
    <row r="172" spans="1:2" x14ac:dyDescent="0.25">
      <c r="A172" s="135"/>
      <c r="B172" s="135"/>
    </row>
    <row r="173" spans="1:2" x14ac:dyDescent="0.25">
      <c r="A173" s="135"/>
      <c r="B173" s="135"/>
    </row>
    <row r="174" spans="1:2" x14ac:dyDescent="0.25">
      <c r="A174" s="135"/>
      <c r="B174" s="135"/>
    </row>
    <row r="175" spans="1:2" x14ac:dyDescent="0.25">
      <c r="A175" s="135"/>
      <c r="B175" s="135"/>
    </row>
    <row r="176" spans="1:2" x14ac:dyDescent="0.25">
      <c r="A176" s="135"/>
      <c r="B176" s="135"/>
    </row>
    <row r="177" spans="1:2" x14ac:dyDescent="0.25">
      <c r="A177" s="135"/>
      <c r="B177" s="135"/>
    </row>
    <row r="178" spans="1:2" x14ac:dyDescent="0.25">
      <c r="A178" s="135"/>
      <c r="B178" s="135"/>
    </row>
    <row r="179" spans="1:2" x14ac:dyDescent="0.25">
      <c r="A179" s="135"/>
      <c r="B179" s="135"/>
    </row>
    <row r="180" spans="1:2" x14ac:dyDescent="0.25">
      <c r="A180" s="135"/>
      <c r="B180" s="135"/>
    </row>
    <row r="181" spans="1:2" x14ac:dyDescent="0.25">
      <c r="A181" s="135"/>
      <c r="B181" s="135"/>
    </row>
    <row r="182" spans="1:2" x14ac:dyDescent="0.25">
      <c r="A182" s="135"/>
      <c r="B182" s="135"/>
    </row>
    <row r="183" spans="1:2" x14ac:dyDescent="0.25">
      <c r="A183" s="135"/>
      <c r="B183" s="135"/>
    </row>
    <row r="184" spans="1:2" x14ac:dyDescent="0.25">
      <c r="A184" s="135"/>
      <c r="B184" s="135"/>
    </row>
    <row r="185" spans="1:2" x14ac:dyDescent="0.25">
      <c r="A185" s="135"/>
      <c r="B185" s="135"/>
    </row>
    <row r="186" spans="1:2" x14ac:dyDescent="0.25">
      <c r="A186" s="135"/>
      <c r="B186" s="135"/>
    </row>
    <row r="187" spans="1:2" x14ac:dyDescent="0.25">
      <c r="A187" s="135"/>
      <c r="B187" s="135"/>
    </row>
    <row r="188" spans="1:2" x14ac:dyDescent="0.25">
      <c r="A188" s="135"/>
      <c r="B188" s="135"/>
    </row>
    <row r="189" spans="1:2" x14ac:dyDescent="0.25">
      <c r="A189" s="135"/>
      <c r="B189" s="135"/>
    </row>
    <row r="190" spans="1:2" x14ac:dyDescent="0.25">
      <c r="A190" s="135"/>
      <c r="B190" s="135"/>
    </row>
    <row r="191" spans="1:2" x14ac:dyDescent="0.25">
      <c r="A191" s="135"/>
      <c r="B191" s="135"/>
    </row>
    <row r="192" spans="1:2" x14ac:dyDescent="0.25">
      <c r="A192" s="135"/>
      <c r="B192" s="135"/>
    </row>
    <row r="193" spans="1:2" x14ac:dyDescent="0.25">
      <c r="A193" s="135"/>
      <c r="B193" s="135"/>
    </row>
    <row r="194" spans="1:2" x14ac:dyDescent="0.25">
      <c r="A194" s="135"/>
      <c r="B194" s="135"/>
    </row>
    <row r="195" spans="1:2" x14ac:dyDescent="0.25">
      <c r="A195" s="135"/>
      <c r="B195" s="135"/>
    </row>
    <row r="196" spans="1:2" x14ac:dyDescent="0.25">
      <c r="A196" s="135"/>
      <c r="B196" s="135"/>
    </row>
    <row r="197" spans="1:2" x14ac:dyDescent="0.25">
      <c r="A197" s="135"/>
      <c r="B197" s="135"/>
    </row>
    <row r="198" spans="1:2" x14ac:dyDescent="0.25">
      <c r="A198" s="135"/>
      <c r="B198" s="135"/>
    </row>
    <row r="199" spans="1:2" x14ac:dyDescent="0.25">
      <c r="A199" s="135"/>
      <c r="B199" s="135"/>
    </row>
    <row r="200" spans="1:2" x14ac:dyDescent="0.25">
      <c r="A200" s="135"/>
      <c r="B200" s="135"/>
    </row>
    <row r="201" spans="1:2" x14ac:dyDescent="0.25">
      <c r="A201" s="135"/>
      <c r="B201" s="135"/>
    </row>
    <row r="202" spans="1:2" x14ac:dyDescent="0.25">
      <c r="A202" s="135"/>
      <c r="B202" s="135"/>
    </row>
    <row r="203" spans="1:2" x14ac:dyDescent="0.25">
      <c r="A203" s="135"/>
      <c r="B203" s="135"/>
    </row>
    <row r="204" spans="1:2" x14ac:dyDescent="0.25">
      <c r="A204" s="135"/>
      <c r="B204" s="135"/>
    </row>
    <row r="205" spans="1:2" x14ac:dyDescent="0.25">
      <c r="A205" s="135"/>
      <c r="B205" s="135"/>
    </row>
    <row r="206" spans="1:2" x14ac:dyDescent="0.25">
      <c r="A206" s="135"/>
      <c r="B206" s="135"/>
    </row>
    <row r="207" spans="1:2" x14ac:dyDescent="0.25">
      <c r="A207" s="135"/>
      <c r="B207" s="135"/>
    </row>
    <row r="208" spans="1:2" x14ac:dyDescent="0.25">
      <c r="A208" s="135"/>
      <c r="B208" s="135"/>
    </row>
    <row r="209" spans="1:2" x14ac:dyDescent="0.25">
      <c r="A209" s="135"/>
      <c r="B209" s="135"/>
    </row>
    <row r="210" spans="1:2" x14ac:dyDescent="0.25">
      <c r="A210" s="135"/>
      <c r="B210" s="135"/>
    </row>
    <row r="211" spans="1:2" x14ac:dyDescent="0.25">
      <c r="A211" s="135"/>
      <c r="B211" s="135"/>
    </row>
    <row r="212" spans="1:2" x14ac:dyDescent="0.25">
      <c r="A212" s="135"/>
      <c r="B212" s="135"/>
    </row>
    <row r="213" spans="1:2" x14ac:dyDescent="0.25">
      <c r="A213" s="135"/>
      <c r="B213" s="135"/>
    </row>
    <row r="214" spans="1:2" x14ac:dyDescent="0.25">
      <c r="A214" s="135"/>
      <c r="B214" s="135"/>
    </row>
    <row r="215" spans="1:2" x14ac:dyDescent="0.25">
      <c r="A215" s="135"/>
      <c r="B215" s="135"/>
    </row>
    <row r="216" spans="1:2" x14ac:dyDescent="0.25">
      <c r="A216" s="135"/>
      <c r="B216" s="135"/>
    </row>
    <row r="217" spans="1:2" x14ac:dyDescent="0.25">
      <c r="A217" s="135"/>
      <c r="B217" s="135"/>
    </row>
    <row r="218" spans="1:2" x14ac:dyDescent="0.25">
      <c r="A218" s="135"/>
      <c r="B218" s="135"/>
    </row>
    <row r="219" spans="1:2" x14ac:dyDescent="0.25">
      <c r="A219" s="135"/>
      <c r="B219" s="135"/>
    </row>
    <row r="220" spans="1:2" x14ac:dyDescent="0.25">
      <c r="A220" s="135"/>
      <c r="B220" s="135"/>
    </row>
    <row r="221" spans="1:2" x14ac:dyDescent="0.25">
      <c r="A221" s="135"/>
      <c r="B221" s="135"/>
    </row>
    <row r="222" spans="1:2" x14ac:dyDescent="0.25">
      <c r="A222" s="135"/>
      <c r="B222" s="135"/>
    </row>
    <row r="223" spans="1:2" x14ac:dyDescent="0.25">
      <c r="A223" s="135"/>
      <c r="B223" s="135"/>
    </row>
    <row r="224" spans="1:2" x14ac:dyDescent="0.25">
      <c r="A224" s="135"/>
      <c r="B224" s="135"/>
    </row>
    <row r="225" spans="1:2" x14ac:dyDescent="0.25">
      <c r="A225" s="135"/>
      <c r="B225" s="135"/>
    </row>
    <row r="226" spans="1:2" x14ac:dyDescent="0.25">
      <c r="A226" s="135"/>
      <c r="B226" s="135"/>
    </row>
    <row r="227" spans="1:2" x14ac:dyDescent="0.25">
      <c r="A227" s="135"/>
      <c r="B227" s="135"/>
    </row>
    <row r="228" spans="1:2" x14ac:dyDescent="0.25">
      <c r="A228" s="135"/>
      <c r="B228" s="135"/>
    </row>
    <row r="229" spans="1:2" x14ac:dyDescent="0.25">
      <c r="A229" s="135"/>
      <c r="B229" s="135"/>
    </row>
    <row r="230" spans="1:2" x14ac:dyDescent="0.25">
      <c r="A230" s="135"/>
      <c r="B230" s="135"/>
    </row>
    <row r="231" spans="1:2" x14ac:dyDescent="0.25">
      <c r="A231" s="135"/>
      <c r="B231" s="135"/>
    </row>
    <row r="232" spans="1:2" x14ac:dyDescent="0.25">
      <c r="A232" s="135"/>
      <c r="B232" s="135"/>
    </row>
    <row r="233" spans="1:2" x14ac:dyDescent="0.25">
      <c r="A233" s="135"/>
      <c r="B233" s="135"/>
    </row>
    <row r="234" spans="1:2" x14ac:dyDescent="0.25">
      <c r="A234" s="135"/>
      <c r="B234" s="135"/>
    </row>
    <row r="235" spans="1:2" x14ac:dyDescent="0.25">
      <c r="A235" s="135"/>
      <c r="B235" s="135"/>
    </row>
    <row r="236" spans="1:2" x14ac:dyDescent="0.25">
      <c r="A236" s="135"/>
      <c r="B236" s="135"/>
    </row>
    <row r="237" spans="1:2" x14ac:dyDescent="0.25">
      <c r="A237" s="135"/>
      <c r="B237" s="135"/>
    </row>
    <row r="238" spans="1:2" x14ac:dyDescent="0.25">
      <c r="A238" s="135"/>
      <c r="B238" s="135"/>
    </row>
    <row r="239" spans="1:2" x14ac:dyDescent="0.25">
      <c r="A239" s="135"/>
      <c r="B239" s="135"/>
    </row>
    <row r="240" spans="1:2" x14ac:dyDescent="0.25">
      <c r="A240" s="135"/>
      <c r="B240" s="135"/>
    </row>
    <row r="241" spans="1:2" x14ac:dyDescent="0.25">
      <c r="A241" s="135"/>
      <c r="B241" s="135"/>
    </row>
    <row r="242" spans="1:2" x14ac:dyDescent="0.25">
      <c r="A242" s="135"/>
      <c r="B242" s="135"/>
    </row>
    <row r="243" spans="1:2" x14ac:dyDescent="0.25">
      <c r="A243" s="135"/>
      <c r="B243" s="135"/>
    </row>
    <row r="244" spans="1:2" x14ac:dyDescent="0.25">
      <c r="A244" s="135"/>
      <c r="B244" s="135"/>
    </row>
    <row r="245" spans="1:2" x14ac:dyDescent="0.25">
      <c r="A245" s="135"/>
      <c r="B245" s="135"/>
    </row>
    <row r="246" spans="1:2" x14ac:dyDescent="0.25">
      <c r="A246" s="135"/>
      <c r="B246" s="135"/>
    </row>
    <row r="247" spans="1:2" x14ac:dyDescent="0.25">
      <c r="A247" s="135"/>
      <c r="B247" s="135"/>
    </row>
    <row r="248" spans="1:2" x14ac:dyDescent="0.25">
      <c r="A248" s="135"/>
      <c r="B248" s="135"/>
    </row>
    <row r="249" spans="1:2" x14ac:dyDescent="0.25">
      <c r="A249" s="135"/>
      <c r="B249" s="135"/>
    </row>
    <row r="250" spans="1:2" x14ac:dyDescent="0.25">
      <c r="A250" s="135"/>
      <c r="B250" s="135"/>
    </row>
    <row r="251" spans="1:2" x14ac:dyDescent="0.25">
      <c r="A251" s="135"/>
      <c r="B251" s="135"/>
    </row>
    <row r="252" spans="1:2" x14ac:dyDescent="0.25">
      <c r="A252" s="135"/>
      <c r="B252" s="135"/>
    </row>
    <row r="253" spans="1:2" x14ac:dyDescent="0.25">
      <c r="A253" s="135"/>
      <c r="B253" s="135"/>
    </row>
    <row r="254" spans="1:2" x14ac:dyDescent="0.25">
      <c r="A254" s="135"/>
      <c r="B254" s="135"/>
    </row>
    <row r="255" spans="1:2" x14ac:dyDescent="0.25">
      <c r="A255" s="135"/>
      <c r="B255" s="135"/>
    </row>
    <row r="256" spans="1:2" x14ac:dyDescent="0.25">
      <c r="A256" s="135"/>
      <c r="B256" s="135"/>
    </row>
    <row r="257" spans="1:2" x14ac:dyDescent="0.25">
      <c r="A257" s="135"/>
      <c r="B257" s="135"/>
    </row>
    <row r="258" spans="1:2" x14ac:dyDescent="0.25">
      <c r="A258" s="135"/>
      <c r="B258" s="135"/>
    </row>
    <row r="259" spans="1:2" x14ac:dyDescent="0.25">
      <c r="A259" s="135"/>
      <c r="B259" s="135"/>
    </row>
    <row r="260" spans="1:2" x14ac:dyDescent="0.25">
      <c r="A260" s="135"/>
      <c r="B260" s="135"/>
    </row>
    <row r="261" spans="1:2" x14ac:dyDescent="0.25">
      <c r="A261" s="135"/>
      <c r="B261" s="135"/>
    </row>
    <row r="262" spans="1:2" x14ac:dyDescent="0.25">
      <c r="A262" s="135"/>
      <c r="B262" s="135"/>
    </row>
    <row r="263" spans="1:2" x14ac:dyDescent="0.25">
      <c r="A263" s="135"/>
      <c r="B263" s="135"/>
    </row>
    <row r="264" spans="1:2" x14ac:dyDescent="0.25">
      <c r="A264" s="135"/>
      <c r="B264" s="135"/>
    </row>
    <row r="265" spans="1:2" x14ac:dyDescent="0.25">
      <c r="A265" s="135"/>
      <c r="B265" s="135"/>
    </row>
    <row r="266" spans="1:2" x14ac:dyDescent="0.25">
      <c r="A266" s="135"/>
      <c r="B266" s="135"/>
    </row>
    <row r="267" spans="1:2" x14ac:dyDescent="0.25">
      <c r="A267" s="135"/>
      <c r="B267" s="135"/>
    </row>
    <row r="268" spans="1:2" x14ac:dyDescent="0.25">
      <c r="A268" s="135"/>
      <c r="B268" s="135"/>
    </row>
    <row r="269" spans="1:2" x14ac:dyDescent="0.25">
      <c r="A269" s="135"/>
      <c r="B269" s="135"/>
    </row>
    <row r="270" spans="1:2" x14ac:dyDescent="0.25">
      <c r="A270" s="135"/>
      <c r="B270" s="135"/>
    </row>
    <row r="271" spans="1:2" x14ac:dyDescent="0.25">
      <c r="A271" s="135"/>
      <c r="B271" s="135"/>
    </row>
    <row r="272" spans="1:2" x14ac:dyDescent="0.25">
      <c r="A272" s="135"/>
      <c r="B272" s="135"/>
    </row>
    <row r="273" spans="1:2" x14ac:dyDescent="0.25">
      <c r="A273" s="135"/>
      <c r="B273" s="135"/>
    </row>
    <row r="274" spans="1:2" x14ac:dyDescent="0.25">
      <c r="A274" s="135"/>
      <c r="B274" s="135"/>
    </row>
    <row r="275" spans="1:2" x14ac:dyDescent="0.25">
      <c r="A275" s="135"/>
      <c r="B275" s="135"/>
    </row>
    <row r="276" spans="1:2" x14ac:dyDescent="0.25">
      <c r="A276" s="135"/>
      <c r="B276" s="135"/>
    </row>
    <row r="277" spans="1:2" x14ac:dyDescent="0.25">
      <c r="A277" s="135"/>
      <c r="B277" s="135"/>
    </row>
    <row r="278" spans="1:2" x14ac:dyDescent="0.25">
      <c r="A278" s="135"/>
      <c r="B278" s="135"/>
    </row>
    <row r="279" spans="1:2" x14ac:dyDescent="0.25">
      <c r="A279" s="135"/>
      <c r="B279" s="135"/>
    </row>
    <row r="280" spans="1:2" x14ac:dyDescent="0.25">
      <c r="A280" s="135"/>
      <c r="B280" s="135"/>
    </row>
    <row r="281" spans="1:2" x14ac:dyDescent="0.25">
      <c r="A281" s="135"/>
      <c r="B281" s="135"/>
    </row>
    <row r="282" spans="1:2" x14ac:dyDescent="0.25">
      <c r="A282" s="135"/>
      <c r="B282" s="135"/>
    </row>
    <row r="283" spans="1:2" s="58" customFormat="1" ht="12.75" x14ac:dyDescent="0.2"/>
    <row r="284" spans="1:2" s="58" customFormat="1" ht="12.75" x14ac:dyDescent="0.2"/>
    <row r="285" spans="1:2" s="58" customFormat="1" ht="12.75" x14ac:dyDescent="0.2"/>
    <row r="286" spans="1:2" s="58" customFormat="1" ht="12.75" x14ac:dyDescent="0.2"/>
    <row r="287" spans="1:2" s="58" customFormat="1" ht="12.75" x14ac:dyDescent="0.2"/>
    <row r="288" spans="1:2" s="58" customFormat="1" ht="12.75" x14ac:dyDescent="0.2"/>
    <row r="289" s="58" customFormat="1" ht="12.75" x14ac:dyDescent="0.2"/>
    <row r="290" s="58" customFormat="1" ht="12.75" x14ac:dyDescent="0.2"/>
    <row r="291" s="58" customFormat="1" ht="12.75" x14ac:dyDescent="0.2"/>
    <row r="292" s="58" customFormat="1" ht="12.75" x14ac:dyDescent="0.2"/>
    <row r="293" s="58" customFormat="1" ht="12.75" x14ac:dyDescent="0.2"/>
    <row r="294" s="58" customFormat="1" ht="12.75" x14ac:dyDescent="0.2"/>
    <row r="295" s="58" customFormat="1" ht="12.75" x14ac:dyDescent="0.2"/>
    <row r="296" s="58" customFormat="1" ht="12.75" x14ac:dyDescent="0.2"/>
    <row r="297" s="58" customFormat="1" ht="12.75" x14ac:dyDescent="0.2"/>
    <row r="298" s="58" customFormat="1" ht="12.75" x14ac:dyDescent="0.2"/>
    <row r="299" s="58" customFormat="1" ht="12.75" x14ac:dyDescent="0.2"/>
    <row r="300" s="58" customFormat="1" ht="12.75" x14ac:dyDescent="0.2"/>
    <row r="301" s="58" customFormat="1" ht="12.75" x14ac:dyDescent="0.2"/>
    <row r="302" s="58" customFormat="1" ht="12.75" x14ac:dyDescent="0.2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  <row r="307" s="58" customFormat="1" ht="12.75" x14ac:dyDescent="0.2"/>
    <row r="308" s="58" customFormat="1" ht="12.75" x14ac:dyDescent="0.2"/>
    <row r="309" s="58" customFormat="1" ht="12.75" x14ac:dyDescent="0.2"/>
    <row r="310" s="58" customFormat="1" ht="12.75" x14ac:dyDescent="0.2"/>
    <row r="311" s="58" customFormat="1" ht="12.75" x14ac:dyDescent="0.2"/>
    <row r="312" s="58" customFormat="1" ht="12.75" x14ac:dyDescent="0.2"/>
    <row r="313" s="58" customFormat="1" ht="12.75" x14ac:dyDescent="0.2"/>
  </sheetData>
  <mergeCells count="1">
    <mergeCell ref="A1:F1"/>
  </mergeCells>
  <hyperlinks>
    <hyperlink ref="C68" r:id="rId1" xr:uid="{005BBB4B-D058-45CF-92A2-BA96DA47513A}"/>
    <hyperlink ref="C69" r:id="rId2" xr:uid="{2E5BE3E7-AA89-45B6-BDB2-22C3A70D28E4}"/>
    <hyperlink ref="C72" r:id="rId3" xr:uid="{AFCD3A4A-EDDA-450A-8C9A-4F5889BB2F90}"/>
    <hyperlink ref="C73" r:id="rId4" xr:uid="{7CEC5C69-E360-462E-B675-4C83C6A50653}"/>
    <hyperlink ref="C79" r:id="rId5" xr:uid="{19D625A9-762A-46FC-89BD-027928283B35}"/>
    <hyperlink ref="C80" r:id="rId6" xr:uid="{B75F9534-93B4-485C-945E-AFE7A0A7780D}"/>
    <hyperlink ref="C82" r:id="rId7" xr:uid="{4A5EEDAD-35F5-452C-8A29-B79FB70461EA}"/>
    <hyperlink ref="C83" r:id="rId8" xr:uid="{1F0711BD-A580-4077-86E2-2BB42AB2DB47}"/>
    <hyperlink ref="C84" r:id="rId9" xr:uid="{DFEC952E-F2DE-4C6C-A1E1-DE2A419BB31A}"/>
    <hyperlink ref="C85" r:id="rId10" xr:uid="{75E8E16A-A328-43B8-A172-BEB161578224}"/>
    <hyperlink ref="C87" r:id="rId11" xr:uid="{7DD251A8-632D-4EE6-92DA-86B7CF66531D}"/>
  </hyperlinks>
  <pageMargins left="0.7" right="0.7" top="0.75" bottom="0.75" header="0.3" footer="0.3"/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D3E90CA-877A-4D34-A015-AF74119E2893}">
          <x14:formula1>
            <xm:f>MESTRE!$C$2:$C$8</xm:f>
          </x14:formula1>
          <xm:sqref>B155:B571</xm:sqref>
        </x14:dataValidation>
        <x14:dataValidation type="list" allowBlank="1" showInputMessage="1" showErrorMessage="1" xr:uid="{EFB4DD6D-6EFC-4993-9148-ECF5F811301D}">
          <x14:formula1>
            <xm:f>MESTRE!$A$2:$A$21</xm:f>
          </x14:formula1>
          <xm:sqref>A3:A22 A26:A45 A47:A66 A68:A87 A155:A310 A132:A151 A89:A108 A110:A128</xm:sqref>
        </x14:dataValidation>
        <x14:dataValidation type="list" allowBlank="1" showInputMessage="1" showErrorMessage="1" xr:uid="{03A6C593-CD17-4593-B242-A82307BF4DF8}">
          <x14:formula1>
            <xm:f>MESTRE!$D$2:$D$6</xm:f>
          </x14:formula1>
          <xm:sqref>B3:B109</xm:sqref>
        </x14:dataValidation>
        <x14:dataValidation type="list" allowBlank="1" showInputMessage="1" showErrorMessage="1" xr:uid="{7A4A988F-7190-441D-97D9-B9DABDBE1F59}">
          <x14:formula1>
            <xm:f>MESTRE!$A$2:$A$2096</xm:f>
          </x14:formula1>
          <xm:sqref>A23:A25 A109 A88 A46 A67 A152:A154 A129:A131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1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5D8F-CC54-4BCA-9AB5-33744137F75A}">
  <sheetPr>
    <tabColor rgb="FFDDA1D0"/>
  </sheetPr>
  <dimension ref="A1:G309"/>
  <sheetViews>
    <sheetView showGridLines="0" zoomScale="84" zoomScaleNormal="84" workbookViewId="0">
      <selection activeCell="F22" sqref="F22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5.85546875" customWidth="1"/>
    <col min="8" max="9" width="10.42578125" customWidth="1"/>
  </cols>
  <sheetData>
    <row r="1" spans="1:7" s="182" customFormat="1" ht="24" customHeight="1" thickBot="1" x14ac:dyDescent="0.35">
      <c r="A1" s="403" t="s">
        <v>66</v>
      </c>
      <c r="B1" s="404"/>
      <c r="C1" s="404"/>
      <c r="D1" s="404"/>
      <c r="E1" s="404"/>
      <c r="F1" s="405"/>
      <c r="G1" s="181"/>
    </row>
    <row r="2" spans="1:7" s="9" customFormat="1" ht="36" customHeight="1" thickBot="1" x14ac:dyDescent="0.3">
      <c r="A2" s="185" t="s">
        <v>0</v>
      </c>
      <c r="B2" s="157" t="s">
        <v>24</v>
      </c>
      <c r="C2" s="188" t="s">
        <v>32</v>
      </c>
      <c r="D2" s="189" t="s">
        <v>33</v>
      </c>
      <c r="E2" s="189" t="s">
        <v>34</v>
      </c>
      <c r="F2" s="190" t="s">
        <v>35</v>
      </c>
    </row>
    <row r="3" spans="1:7" ht="18" x14ac:dyDescent="0.4">
      <c r="A3" s="68" t="s">
        <v>1</v>
      </c>
      <c r="B3" s="76" t="s">
        <v>67</v>
      </c>
      <c r="C3" s="168">
        <v>7.53</v>
      </c>
      <c r="D3" s="169">
        <v>7.53</v>
      </c>
      <c r="E3" s="169">
        <v>13.2</v>
      </c>
      <c r="F3" s="191">
        <f>392475.35/'[1]DADES GENERALS'!F3</f>
        <v>3442.7662280701752</v>
      </c>
      <c r="G3" s="9"/>
    </row>
    <row r="4" spans="1:7" ht="18" x14ac:dyDescent="0.4">
      <c r="A4" s="69" t="s">
        <v>2</v>
      </c>
      <c r="B4" s="77" t="s">
        <v>67</v>
      </c>
      <c r="C4" s="196">
        <v>15.08</v>
      </c>
      <c r="D4" s="192" t="s">
        <v>65</v>
      </c>
      <c r="E4" s="192" t="s">
        <v>65</v>
      </c>
      <c r="F4" s="193" t="s">
        <v>65</v>
      </c>
    </row>
    <row r="5" spans="1:7" ht="18" x14ac:dyDescent="0.4">
      <c r="A5" s="69" t="s">
        <v>3</v>
      </c>
      <c r="B5" s="77" t="s">
        <v>67</v>
      </c>
      <c r="C5" s="162">
        <v>7.16</v>
      </c>
      <c r="D5" s="33">
        <v>7.2</v>
      </c>
      <c r="E5" s="33">
        <v>12.02</v>
      </c>
      <c r="F5" s="163" t="s">
        <v>65</v>
      </c>
    </row>
    <row r="6" spans="1:7" ht="18" x14ac:dyDescent="0.4">
      <c r="A6" s="69" t="s">
        <v>4</v>
      </c>
      <c r="B6" s="77" t="s">
        <v>67</v>
      </c>
      <c r="C6" s="162">
        <v>11.33</v>
      </c>
      <c r="D6" s="33">
        <v>11.33</v>
      </c>
      <c r="E6" s="194">
        <f>364931/'[1]DADES GENERALS'!F6</f>
        <v>311.37457337883961</v>
      </c>
      <c r="F6" s="163" t="s">
        <v>65</v>
      </c>
    </row>
    <row r="7" spans="1:7" ht="18" x14ac:dyDescent="0.4">
      <c r="A7" s="69" t="s">
        <v>5</v>
      </c>
      <c r="B7" s="77" t="s">
        <v>67</v>
      </c>
      <c r="C7" s="162" t="s">
        <v>65</v>
      </c>
      <c r="D7" s="194">
        <v>2.0699999999999998</v>
      </c>
      <c r="E7" s="194" t="s">
        <v>65</v>
      </c>
      <c r="F7" s="195" t="s">
        <v>65</v>
      </c>
    </row>
    <row r="8" spans="1:7" ht="18" x14ac:dyDescent="0.4">
      <c r="A8" s="69" t="s">
        <v>6</v>
      </c>
      <c r="B8" s="77" t="s">
        <v>67</v>
      </c>
      <c r="C8" s="196">
        <v>2.3474666666666666</v>
      </c>
      <c r="D8" s="33" t="s">
        <v>65</v>
      </c>
      <c r="E8" s="33">
        <v>2.57</v>
      </c>
      <c r="F8" s="163">
        <v>2.57</v>
      </c>
    </row>
    <row r="9" spans="1:7" ht="18" x14ac:dyDescent="0.4">
      <c r="A9" s="69" t="s">
        <v>7</v>
      </c>
      <c r="B9" s="77" t="s">
        <v>67</v>
      </c>
      <c r="C9" s="162" t="s">
        <v>65</v>
      </c>
      <c r="D9" s="33" t="s">
        <v>65</v>
      </c>
      <c r="E9" s="33" t="s">
        <v>65</v>
      </c>
      <c r="F9" s="163" t="s">
        <v>65</v>
      </c>
    </row>
    <row r="10" spans="1:7" ht="18" x14ac:dyDescent="0.4">
      <c r="A10" s="69" t="s">
        <v>8</v>
      </c>
      <c r="B10" s="77" t="s">
        <v>67</v>
      </c>
      <c r="C10" s="162">
        <v>13.88</v>
      </c>
      <c r="D10" s="33" t="s">
        <v>65</v>
      </c>
      <c r="E10" s="33">
        <v>6.82</v>
      </c>
      <c r="F10" s="163" t="s">
        <v>65</v>
      </c>
    </row>
    <row r="11" spans="1:7" ht="18" x14ac:dyDescent="0.4">
      <c r="A11" s="69" t="s">
        <v>9</v>
      </c>
      <c r="B11" s="77" t="s">
        <v>67</v>
      </c>
      <c r="C11" s="162">
        <v>0</v>
      </c>
      <c r="D11" s="33">
        <v>0</v>
      </c>
      <c r="E11" s="33" t="s">
        <v>65</v>
      </c>
      <c r="F11" s="163" t="s">
        <v>65</v>
      </c>
    </row>
    <row r="12" spans="1:7" ht="18" x14ac:dyDescent="0.4">
      <c r="A12" s="69" t="s">
        <v>10</v>
      </c>
      <c r="B12" s="77" t="s">
        <v>67</v>
      </c>
      <c r="C12" s="162" t="s">
        <v>65</v>
      </c>
      <c r="D12" s="33" t="s">
        <v>65</v>
      </c>
      <c r="E12" s="33" t="s">
        <v>65</v>
      </c>
      <c r="F12" s="163" t="s">
        <v>65</v>
      </c>
    </row>
    <row r="13" spans="1:7" ht="18" x14ac:dyDescent="0.4">
      <c r="A13" s="69" t="s">
        <v>11</v>
      </c>
      <c r="B13" s="77" t="s">
        <v>67</v>
      </c>
      <c r="C13" s="162" t="s">
        <v>65</v>
      </c>
      <c r="D13" s="33" t="s">
        <v>65</v>
      </c>
      <c r="E13" s="33" t="s">
        <v>65</v>
      </c>
      <c r="F13" s="163" t="s">
        <v>65</v>
      </c>
    </row>
    <row r="14" spans="1:7" ht="18" x14ac:dyDescent="0.4">
      <c r="A14" s="69" t="s">
        <v>12</v>
      </c>
      <c r="B14" s="77" t="s">
        <v>67</v>
      </c>
      <c r="C14" s="162" t="s">
        <v>65</v>
      </c>
      <c r="D14" s="33" t="s">
        <v>65</v>
      </c>
      <c r="E14" s="33" t="s">
        <v>65</v>
      </c>
      <c r="F14" s="163" t="s">
        <v>65</v>
      </c>
    </row>
    <row r="15" spans="1:7" ht="18" x14ac:dyDescent="0.4">
      <c r="A15" s="69" t="s">
        <v>13</v>
      </c>
      <c r="B15" s="77" t="s">
        <v>67</v>
      </c>
      <c r="C15" s="162">
        <v>7.8</v>
      </c>
      <c r="D15" s="33">
        <v>7.8</v>
      </c>
      <c r="E15" s="33" t="s">
        <v>65</v>
      </c>
      <c r="F15" s="195">
        <f>169302/'[1]DADES GENERALS'!F15</f>
        <v>252.68955223880596</v>
      </c>
    </row>
    <row r="16" spans="1:7" ht="18" x14ac:dyDescent="0.4">
      <c r="A16" s="69" t="s">
        <v>14</v>
      </c>
      <c r="B16" s="77" t="s">
        <v>67</v>
      </c>
      <c r="C16" s="162">
        <v>35</v>
      </c>
      <c r="D16" s="33" t="s">
        <v>65</v>
      </c>
      <c r="E16" s="33" t="s">
        <v>65</v>
      </c>
      <c r="F16" s="163" t="s">
        <v>65</v>
      </c>
    </row>
    <row r="17" spans="1:7" ht="18" x14ac:dyDescent="0.4">
      <c r="A17" s="69" t="s">
        <v>15</v>
      </c>
      <c r="B17" s="77" t="s">
        <v>67</v>
      </c>
      <c r="C17" s="162">
        <v>9.31</v>
      </c>
      <c r="D17" s="33" t="s">
        <v>65</v>
      </c>
      <c r="E17" s="33" t="s">
        <v>65</v>
      </c>
      <c r="F17" s="163" t="s">
        <v>65</v>
      </c>
    </row>
    <row r="18" spans="1:7" ht="18" x14ac:dyDescent="0.4">
      <c r="A18" s="69" t="s">
        <v>16</v>
      </c>
      <c r="B18" s="77" t="s">
        <v>67</v>
      </c>
      <c r="C18" s="162">
        <v>10.23</v>
      </c>
      <c r="D18" s="33" t="s">
        <v>65</v>
      </c>
      <c r="E18" s="33" t="s">
        <v>65</v>
      </c>
      <c r="F18" s="163" t="s">
        <v>65</v>
      </c>
    </row>
    <row r="19" spans="1:7" ht="18" x14ac:dyDescent="0.4">
      <c r="A19" s="69" t="s">
        <v>17</v>
      </c>
      <c r="B19" s="77" t="s">
        <v>67</v>
      </c>
      <c r="C19" s="162" t="s">
        <v>65</v>
      </c>
      <c r="D19" s="33" t="s">
        <v>65</v>
      </c>
      <c r="E19" s="33">
        <v>2.5299999999999998</v>
      </c>
      <c r="F19" s="195">
        <f>26000/'[1]DADES GENERALS'!F19</f>
        <v>105.6910569105691</v>
      </c>
    </row>
    <row r="20" spans="1:7" ht="18" x14ac:dyDescent="0.4">
      <c r="A20" s="69" t="s">
        <v>18</v>
      </c>
      <c r="B20" s="77" t="s">
        <v>67</v>
      </c>
      <c r="C20" s="162">
        <v>18.16</v>
      </c>
      <c r="D20" s="33" t="s">
        <v>65</v>
      </c>
      <c r="E20" s="33">
        <v>18.16</v>
      </c>
      <c r="F20" s="163">
        <v>18.16</v>
      </c>
    </row>
    <row r="21" spans="1:7" ht="18" x14ac:dyDescent="0.4">
      <c r="A21" s="69" t="s">
        <v>19</v>
      </c>
      <c r="B21" s="77" t="s">
        <v>67</v>
      </c>
      <c r="C21" s="162" t="s">
        <v>65</v>
      </c>
      <c r="D21" s="33" t="s">
        <v>65</v>
      </c>
      <c r="E21" s="33" t="s">
        <v>65</v>
      </c>
      <c r="F21" s="195">
        <f>949029/'[1]DADES GENERALS'!F21</f>
        <v>284.73717371737172</v>
      </c>
    </row>
    <row r="22" spans="1:7" ht="18.75" thickBot="1" x14ac:dyDescent="0.45">
      <c r="A22" s="70" t="s">
        <v>20</v>
      </c>
      <c r="B22" s="78" t="s">
        <v>67</v>
      </c>
      <c r="C22" s="162" t="s">
        <v>65</v>
      </c>
      <c r="D22" s="33" t="s">
        <v>65</v>
      </c>
      <c r="E22" s="33">
        <v>6.89</v>
      </c>
      <c r="F22" s="163" t="s">
        <v>65</v>
      </c>
    </row>
    <row r="23" spans="1:7" ht="18" hidden="1" x14ac:dyDescent="0.4">
      <c r="A23" s="68" t="s">
        <v>1</v>
      </c>
      <c r="B23" s="76" t="s">
        <v>68</v>
      </c>
      <c r="C23" s="16">
        <v>15000</v>
      </c>
      <c r="D23" s="17">
        <v>15182</v>
      </c>
      <c r="E23" s="17">
        <v>15497</v>
      </c>
      <c r="F23" s="18">
        <v>16105</v>
      </c>
    </row>
    <row r="24" spans="1:7" ht="18" hidden="1" x14ac:dyDescent="0.4">
      <c r="A24" s="69" t="s">
        <v>2</v>
      </c>
      <c r="B24" s="99" t="s">
        <v>68</v>
      </c>
      <c r="C24" s="198">
        <v>3500</v>
      </c>
      <c r="D24" s="36" t="s">
        <v>65</v>
      </c>
      <c r="E24" s="36" t="s">
        <v>65</v>
      </c>
      <c r="F24" s="31" t="s">
        <v>65</v>
      </c>
    </row>
    <row r="25" spans="1:7" ht="18" hidden="1" x14ac:dyDescent="0.4">
      <c r="A25" s="69" t="s">
        <v>3</v>
      </c>
      <c r="B25" s="99" t="s">
        <v>68</v>
      </c>
      <c r="C25" s="19">
        <v>3500</v>
      </c>
      <c r="D25" s="20">
        <v>3525</v>
      </c>
      <c r="E25" s="20">
        <v>3541</v>
      </c>
      <c r="F25" s="21" t="s">
        <v>65</v>
      </c>
    </row>
    <row r="26" spans="1:7" ht="18" hidden="1" x14ac:dyDescent="0.4">
      <c r="A26" s="69" t="s">
        <v>4</v>
      </c>
      <c r="B26" s="99" t="s">
        <v>68</v>
      </c>
      <c r="C26" s="19">
        <v>12989</v>
      </c>
      <c r="D26" s="20">
        <v>12989</v>
      </c>
      <c r="E26" s="20">
        <v>12989</v>
      </c>
      <c r="F26" s="21" t="s">
        <v>65</v>
      </c>
      <c r="G26" s="58"/>
    </row>
    <row r="27" spans="1:7" ht="18" hidden="1" x14ac:dyDescent="0.4">
      <c r="A27" s="69" t="s">
        <v>5</v>
      </c>
      <c r="B27" s="99" t="s">
        <v>68</v>
      </c>
      <c r="C27" s="199" t="s">
        <v>65</v>
      </c>
      <c r="D27" s="200">
        <v>2063</v>
      </c>
      <c r="E27" s="200" t="s">
        <v>65</v>
      </c>
      <c r="F27" s="201" t="s">
        <v>65</v>
      </c>
      <c r="G27" s="58"/>
    </row>
    <row r="28" spans="1:7" ht="18" hidden="1" x14ac:dyDescent="0.4">
      <c r="A28" s="69" t="s">
        <v>6</v>
      </c>
      <c r="B28" s="99" t="s">
        <v>68</v>
      </c>
      <c r="C28" s="19">
        <v>1587</v>
      </c>
      <c r="D28" s="20" t="s">
        <v>65</v>
      </c>
      <c r="E28" s="20">
        <v>1595</v>
      </c>
      <c r="F28" s="21">
        <v>1595</v>
      </c>
      <c r="G28" s="58"/>
    </row>
    <row r="29" spans="1:7" ht="18" hidden="1" x14ac:dyDescent="0.4">
      <c r="A29" s="69" t="s">
        <v>7</v>
      </c>
      <c r="B29" s="99" t="s">
        <v>68</v>
      </c>
      <c r="C29" s="199" t="s">
        <v>65</v>
      </c>
      <c r="D29" s="200" t="s">
        <v>65</v>
      </c>
      <c r="E29" s="200" t="s">
        <v>65</v>
      </c>
      <c r="F29" s="201" t="s">
        <v>65</v>
      </c>
      <c r="G29" s="58"/>
    </row>
    <row r="30" spans="1:7" ht="18" hidden="1" x14ac:dyDescent="0.4">
      <c r="A30" s="69" t="s">
        <v>8</v>
      </c>
      <c r="B30" s="99" t="s">
        <v>68</v>
      </c>
      <c r="C30" s="199" t="s">
        <v>65</v>
      </c>
      <c r="D30" s="200" t="s">
        <v>65</v>
      </c>
      <c r="E30" s="200">
        <v>1605</v>
      </c>
      <c r="F30" s="201">
        <v>2000</v>
      </c>
      <c r="G30" s="58"/>
    </row>
    <row r="31" spans="1:7" ht="18" hidden="1" x14ac:dyDescent="0.4">
      <c r="A31" s="69" t="s">
        <v>9</v>
      </c>
      <c r="B31" s="99" t="s">
        <v>68</v>
      </c>
      <c r="C31" s="199">
        <v>7</v>
      </c>
      <c r="D31" s="200">
        <v>6</v>
      </c>
      <c r="E31" s="200" t="s">
        <v>65</v>
      </c>
      <c r="F31" s="201" t="s">
        <v>65</v>
      </c>
      <c r="G31" s="58"/>
    </row>
    <row r="32" spans="1:7" ht="18" hidden="1" x14ac:dyDescent="0.4">
      <c r="A32" s="69" t="s">
        <v>10</v>
      </c>
      <c r="B32" s="99" t="s">
        <v>68</v>
      </c>
      <c r="C32" s="199" t="s">
        <v>65</v>
      </c>
      <c r="D32" s="200" t="s">
        <v>65</v>
      </c>
      <c r="E32" s="200" t="s">
        <v>65</v>
      </c>
      <c r="F32" s="201" t="s">
        <v>65</v>
      </c>
      <c r="G32" s="58"/>
    </row>
    <row r="33" spans="1:7" ht="18" hidden="1" x14ac:dyDescent="0.4">
      <c r="A33" s="69" t="s">
        <v>11</v>
      </c>
      <c r="B33" s="99" t="s">
        <v>68</v>
      </c>
      <c r="C33" s="199" t="s">
        <v>65</v>
      </c>
      <c r="D33" s="200" t="s">
        <v>65</v>
      </c>
      <c r="E33" s="200" t="s">
        <v>65</v>
      </c>
      <c r="F33" s="201" t="s">
        <v>65</v>
      </c>
      <c r="G33" s="58"/>
    </row>
    <row r="34" spans="1:7" ht="18" hidden="1" x14ac:dyDescent="0.4">
      <c r="A34" s="69" t="s">
        <v>12</v>
      </c>
      <c r="B34" s="99" t="s">
        <v>68</v>
      </c>
      <c r="C34" s="199" t="s">
        <v>65</v>
      </c>
      <c r="D34" s="200" t="s">
        <v>65</v>
      </c>
      <c r="E34" s="200" t="s">
        <v>65</v>
      </c>
      <c r="F34" s="201" t="s">
        <v>65</v>
      </c>
      <c r="G34" s="58"/>
    </row>
    <row r="35" spans="1:7" ht="18" hidden="1" x14ac:dyDescent="0.4">
      <c r="A35" s="69" t="s">
        <v>13</v>
      </c>
      <c r="B35" s="99" t="s">
        <v>68</v>
      </c>
      <c r="C35" s="19">
        <v>4500</v>
      </c>
      <c r="D35" s="20" t="s">
        <v>65</v>
      </c>
      <c r="E35" s="20">
        <v>4404</v>
      </c>
      <c r="F35" s="21">
        <v>4750</v>
      </c>
      <c r="G35" s="58"/>
    </row>
    <row r="36" spans="1:7" ht="18" hidden="1" x14ac:dyDescent="0.4">
      <c r="A36" s="69" t="s">
        <v>14</v>
      </c>
      <c r="B36" s="99" t="s">
        <v>68</v>
      </c>
      <c r="C36" s="19">
        <v>20000</v>
      </c>
      <c r="D36" s="20" t="s">
        <v>65</v>
      </c>
      <c r="E36" s="20" t="s">
        <v>65</v>
      </c>
      <c r="F36" s="21" t="s">
        <v>65</v>
      </c>
      <c r="G36" s="58"/>
    </row>
    <row r="37" spans="1:7" ht="18" hidden="1" x14ac:dyDescent="0.4">
      <c r="A37" s="69" t="s">
        <v>15</v>
      </c>
      <c r="B37" s="99" t="s">
        <v>68</v>
      </c>
      <c r="C37" s="19">
        <v>1827</v>
      </c>
      <c r="D37" s="20" t="s">
        <v>65</v>
      </c>
      <c r="E37" s="20" t="s">
        <v>65</v>
      </c>
      <c r="F37" s="21" t="s">
        <v>65</v>
      </c>
      <c r="G37" s="58"/>
    </row>
    <row r="38" spans="1:7" ht="18" hidden="1" x14ac:dyDescent="0.4">
      <c r="A38" s="69" t="s">
        <v>16</v>
      </c>
      <c r="B38" s="99" t="s">
        <v>68</v>
      </c>
      <c r="C38" s="19">
        <v>1580</v>
      </c>
      <c r="D38" s="20" t="s">
        <v>65</v>
      </c>
      <c r="E38" s="20" t="s">
        <v>65</v>
      </c>
      <c r="F38" s="21" t="s">
        <v>65</v>
      </c>
      <c r="G38" s="58"/>
    </row>
    <row r="39" spans="1:7" ht="18" hidden="1" x14ac:dyDescent="0.4">
      <c r="A39" s="69" t="s">
        <v>17</v>
      </c>
      <c r="B39" s="99" t="s">
        <v>68</v>
      </c>
      <c r="C39" s="199" t="s">
        <v>65</v>
      </c>
      <c r="D39" s="200">
        <v>2471</v>
      </c>
      <c r="E39" s="200">
        <v>2491</v>
      </c>
      <c r="F39" s="201">
        <v>2471</v>
      </c>
      <c r="G39" s="58"/>
    </row>
    <row r="40" spans="1:7" ht="18" hidden="1" x14ac:dyDescent="0.4">
      <c r="A40" s="69" t="s">
        <v>18</v>
      </c>
      <c r="B40" s="99" t="s">
        <v>68</v>
      </c>
      <c r="C40" s="199">
        <v>3633</v>
      </c>
      <c r="D40" s="200" t="s">
        <v>65</v>
      </c>
      <c r="E40" s="200">
        <v>3633</v>
      </c>
      <c r="F40" s="201">
        <v>3633</v>
      </c>
      <c r="G40" s="58"/>
    </row>
    <row r="41" spans="1:7" ht="18" hidden="1" x14ac:dyDescent="0.4">
      <c r="A41" s="69" t="s">
        <v>19</v>
      </c>
      <c r="B41" s="99" t="s">
        <v>68</v>
      </c>
      <c r="C41" s="19">
        <v>13412</v>
      </c>
      <c r="D41" s="20" t="s">
        <v>65</v>
      </c>
      <c r="E41" s="20" t="s">
        <v>65</v>
      </c>
      <c r="F41" s="21">
        <v>11254</v>
      </c>
      <c r="G41" s="58"/>
    </row>
    <row r="42" spans="1:7" ht="18.75" hidden="1" thickBot="1" x14ac:dyDescent="0.45">
      <c r="A42" s="70" t="s">
        <v>20</v>
      </c>
      <c r="B42" s="197" t="s">
        <v>68</v>
      </c>
      <c r="C42" s="22">
        <v>4512</v>
      </c>
      <c r="D42" s="23" t="s">
        <v>65</v>
      </c>
      <c r="E42" s="23">
        <v>4792</v>
      </c>
      <c r="F42" s="24" t="s">
        <v>65</v>
      </c>
      <c r="G42" s="58"/>
    </row>
    <row r="43" spans="1:7" x14ac:dyDescent="0.25">
      <c r="A43" s="135"/>
      <c r="B43" s="135"/>
    </row>
    <row r="44" spans="1:7" x14ac:dyDescent="0.25">
      <c r="A44" s="135"/>
      <c r="B44" s="135"/>
    </row>
    <row r="45" spans="1:7" x14ac:dyDescent="0.25">
      <c r="A45" s="135"/>
      <c r="B45" s="135"/>
    </row>
    <row r="46" spans="1:7" x14ac:dyDescent="0.25">
      <c r="A46" s="135"/>
      <c r="B46" s="135"/>
    </row>
    <row r="47" spans="1:7" x14ac:dyDescent="0.25">
      <c r="A47" s="135"/>
      <c r="B47" s="135"/>
    </row>
    <row r="48" spans="1:7" x14ac:dyDescent="0.25">
      <c r="A48" s="135"/>
      <c r="B48" s="135"/>
    </row>
    <row r="49" spans="1:2" x14ac:dyDescent="0.25">
      <c r="A49" s="135"/>
      <c r="B49" s="135"/>
    </row>
    <row r="50" spans="1:2" x14ac:dyDescent="0.25">
      <c r="A50" s="135"/>
      <c r="B50" s="135"/>
    </row>
    <row r="51" spans="1:2" x14ac:dyDescent="0.25">
      <c r="A51" s="135"/>
      <c r="B51" s="135"/>
    </row>
    <row r="52" spans="1:2" x14ac:dyDescent="0.25">
      <c r="A52" s="135"/>
      <c r="B52" s="135"/>
    </row>
    <row r="53" spans="1:2" x14ac:dyDescent="0.25">
      <c r="A53" s="135"/>
      <c r="B53" s="135"/>
    </row>
    <row r="54" spans="1:2" x14ac:dyDescent="0.25">
      <c r="A54" s="135"/>
      <c r="B54" s="135"/>
    </row>
    <row r="55" spans="1:2" x14ac:dyDescent="0.25">
      <c r="A55" s="135"/>
      <c r="B55" s="135"/>
    </row>
    <row r="56" spans="1:2" x14ac:dyDescent="0.25">
      <c r="A56" s="135"/>
      <c r="B56" s="135"/>
    </row>
    <row r="57" spans="1:2" x14ac:dyDescent="0.25">
      <c r="A57" s="135"/>
      <c r="B57" s="135"/>
    </row>
    <row r="58" spans="1:2" x14ac:dyDescent="0.25">
      <c r="A58" s="135"/>
      <c r="B58" s="135"/>
    </row>
    <row r="59" spans="1:2" x14ac:dyDescent="0.25">
      <c r="A59" s="135"/>
      <c r="B59" s="135"/>
    </row>
    <row r="60" spans="1:2" x14ac:dyDescent="0.25">
      <c r="A60" s="135"/>
      <c r="B60" s="135"/>
    </row>
    <row r="61" spans="1:2" x14ac:dyDescent="0.25">
      <c r="A61" s="135"/>
      <c r="B61" s="135"/>
    </row>
    <row r="62" spans="1:2" x14ac:dyDescent="0.25">
      <c r="A62" s="135"/>
      <c r="B62" s="135"/>
    </row>
    <row r="63" spans="1:2" x14ac:dyDescent="0.25">
      <c r="A63" s="135"/>
      <c r="B63" s="135"/>
    </row>
    <row r="64" spans="1:2" x14ac:dyDescent="0.25">
      <c r="A64" s="135"/>
      <c r="B64" s="135"/>
    </row>
    <row r="65" spans="1:2" x14ac:dyDescent="0.25">
      <c r="A65" s="135"/>
      <c r="B65" s="135"/>
    </row>
    <row r="66" spans="1:2" x14ac:dyDescent="0.25">
      <c r="A66" s="135"/>
      <c r="B66" s="135"/>
    </row>
    <row r="67" spans="1:2" x14ac:dyDescent="0.25">
      <c r="A67" s="135"/>
      <c r="B67" s="135"/>
    </row>
    <row r="68" spans="1:2" x14ac:dyDescent="0.25">
      <c r="A68" s="135"/>
      <c r="B68" s="135"/>
    </row>
    <row r="69" spans="1:2" x14ac:dyDescent="0.25">
      <c r="A69" s="135"/>
      <c r="B69" s="135"/>
    </row>
    <row r="70" spans="1:2" x14ac:dyDescent="0.25">
      <c r="A70" s="135"/>
      <c r="B70" s="135"/>
    </row>
    <row r="71" spans="1:2" x14ac:dyDescent="0.25">
      <c r="A71" s="135"/>
      <c r="B71" s="135"/>
    </row>
    <row r="72" spans="1:2" x14ac:dyDescent="0.25">
      <c r="A72" s="135"/>
      <c r="B72" s="135"/>
    </row>
    <row r="73" spans="1:2" x14ac:dyDescent="0.25">
      <c r="A73" s="135"/>
      <c r="B73" s="135"/>
    </row>
    <row r="74" spans="1:2" x14ac:dyDescent="0.25">
      <c r="A74" s="135"/>
      <c r="B74" s="135"/>
    </row>
    <row r="75" spans="1:2" x14ac:dyDescent="0.25">
      <c r="A75" s="135"/>
      <c r="B75" s="135"/>
    </row>
    <row r="76" spans="1:2" x14ac:dyDescent="0.25">
      <c r="A76" s="135"/>
      <c r="B76" s="135"/>
    </row>
    <row r="77" spans="1:2" x14ac:dyDescent="0.25">
      <c r="A77" s="135"/>
      <c r="B77" s="135"/>
    </row>
    <row r="78" spans="1:2" x14ac:dyDescent="0.25">
      <c r="A78" s="135"/>
      <c r="B78" s="135"/>
    </row>
    <row r="79" spans="1:2" x14ac:dyDescent="0.25">
      <c r="A79" s="135"/>
      <c r="B79" s="135"/>
    </row>
    <row r="80" spans="1:2" x14ac:dyDescent="0.25">
      <c r="A80" s="135"/>
      <c r="B80" s="135"/>
    </row>
    <row r="81" spans="1:2" x14ac:dyDescent="0.25">
      <c r="A81" s="135"/>
      <c r="B81" s="135"/>
    </row>
    <row r="82" spans="1:2" x14ac:dyDescent="0.25">
      <c r="A82" s="135"/>
      <c r="B82" s="135"/>
    </row>
    <row r="83" spans="1:2" x14ac:dyDescent="0.25">
      <c r="A83" s="135"/>
      <c r="B83" s="135"/>
    </row>
    <row r="84" spans="1:2" x14ac:dyDescent="0.25">
      <c r="A84" s="135"/>
      <c r="B84" s="135"/>
    </row>
    <row r="85" spans="1:2" x14ac:dyDescent="0.25">
      <c r="A85" s="135"/>
      <c r="B85" s="135"/>
    </row>
    <row r="86" spans="1:2" x14ac:dyDescent="0.25">
      <c r="A86" s="135"/>
      <c r="B86" s="135"/>
    </row>
    <row r="87" spans="1:2" x14ac:dyDescent="0.25">
      <c r="A87" s="135"/>
      <c r="B87" s="135"/>
    </row>
    <row r="88" spans="1:2" x14ac:dyDescent="0.25">
      <c r="A88" s="135"/>
      <c r="B88" s="135"/>
    </row>
    <row r="89" spans="1:2" x14ac:dyDescent="0.25">
      <c r="A89" s="135"/>
      <c r="B89" s="135"/>
    </row>
    <row r="90" spans="1:2" x14ac:dyDescent="0.25">
      <c r="A90" s="135"/>
      <c r="B90" s="135"/>
    </row>
    <row r="91" spans="1:2" x14ac:dyDescent="0.25">
      <c r="A91" s="135"/>
      <c r="B91" s="135"/>
    </row>
    <row r="92" spans="1:2" x14ac:dyDescent="0.25">
      <c r="A92" s="135"/>
      <c r="B92" s="135"/>
    </row>
    <row r="93" spans="1:2" x14ac:dyDescent="0.25">
      <c r="A93" s="135"/>
      <c r="B93" s="135"/>
    </row>
    <row r="94" spans="1:2" x14ac:dyDescent="0.25">
      <c r="A94" s="135"/>
      <c r="B94" s="135"/>
    </row>
    <row r="95" spans="1:2" x14ac:dyDescent="0.25">
      <c r="A95" s="135"/>
      <c r="B95" s="135"/>
    </row>
    <row r="96" spans="1:2" x14ac:dyDescent="0.25">
      <c r="A96" s="135"/>
      <c r="B96" s="135"/>
    </row>
    <row r="97" spans="1:2" x14ac:dyDescent="0.25">
      <c r="A97" s="135"/>
      <c r="B97" s="135"/>
    </row>
    <row r="98" spans="1:2" x14ac:dyDescent="0.25">
      <c r="A98" s="135"/>
      <c r="B98" s="135"/>
    </row>
    <row r="99" spans="1:2" x14ac:dyDescent="0.25">
      <c r="A99" s="135"/>
      <c r="B99" s="135"/>
    </row>
    <row r="100" spans="1:2" x14ac:dyDescent="0.25">
      <c r="A100" s="135"/>
      <c r="B100" s="135"/>
    </row>
    <row r="101" spans="1:2" x14ac:dyDescent="0.25">
      <c r="A101" s="135"/>
      <c r="B101" s="135"/>
    </row>
    <row r="102" spans="1:2" x14ac:dyDescent="0.25">
      <c r="A102" s="135"/>
      <c r="B102" s="135"/>
    </row>
    <row r="103" spans="1:2" x14ac:dyDescent="0.25">
      <c r="A103" s="135"/>
      <c r="B103" s="135"/>
    </row>
    <row r="104" spans="1:2" x14ac:dyDescent="0.25">
      <c r="A104" s="135"/>
      <c r="B104" s="135"/>
    </row>
    <row r="105" spans="1:2" x14ac:dyDescent="0.25">
      <c r="A105" s="135"/>
      <c r="B105" s="135"/>
    </row>
    <row r="106" spans="1:2" x14ac:dyDescent="0.25">
      <c r="A106" s="135"/>
      <c r="B106" s="135"/>
    </row>
    <row r="107" spans="1:2" x14ac:dyDescent="0.25">
      <c r="A107" s="135"/>
      <c r="B107" s="135"/>
    </row>
    <row r="108" spans="1:2" x14ac:dyDescent="0.25">
      <c r="A108" s="135"/>
      <c r="B108" s="135"/>
    </row>
    <row r="109" spans="1:2" x14ac:dyDescent="0.25">
      <c r="A109" s="135"/>
      <c r="B109" s="135"/>
    </row>
    <row r="110" spans="1:2" x14ac:dyDescent="0.25">
      <c r="A110" s="135"/>
      <c r="B110" s="135"/>
    </row>
    <row r="111" spans="1:2" x14ac:dyDescent="0.25">
      <c r="A111" s="135"/>
      <c r="B111" s="135"/>
    </row>
    <row r="112" spans="1:2" x14ac:dyDescent="0.25">
      <c r="A112" s="135"/>
      <c r="B112" s="135"/>
    </row>
    <row r="113" spans="1:2" x14ac:dyDescent="0.25">
      <c r="A113" s="135"/>
      <c r="B113" s="135"/>
    </row>
    <row r="114" spans="1:2" x14ac:dyDescent="0.25">
      <c r="A114" s="135"/>
      <c r="B114" s="135"/>
    </row>
    <row r="115" spans="1:2" x14ac:dyDescent="0.25">
      <c r="A115" s="135"/>
      <c r="B115" s="135"/>
    </row>
    <row r="116" spans="1:2" x14ac:dyDescent="0.25">
      <c r="A116" s="135"/>
      <c r="B116" s="135"/>
    </row>
    <row r="117" spans="1:2" x14ac:dyDescent="0.25">
      <c r="A117" s="135"/>
      <c r="B117" s="135"/>
    </row>
    <row r="118" spans="1:2" x14ac:dyDescent="0.25">
      <c r="A118" s="135"/>
      <c r="B118" s="135"/>
    </row>
    <row r="119" spans="1:2" x14ac:dyDescent="0.25">
      <c r="A119" s="135"/>
      <c r="B119" s="135"/>
    </row>
    <row r="120" spans="1:2" x14ac:dyDescent="0.25">
      <c r="A120" s="135"/>
      <c r="B120" s="135"/>
    </row>
    <row r="121" spans="1:2" x14ac:dyDescent="0.25">
      <c r="A121" s="135"/>
      <c r="B121" s="135"/>
    </row>
    <row r="122" spans="1:2" x14ac:dyDescent="0.25">
      <c r="A122" s="135"/>
      <c r="B122" s="135"/>
    </row>
    <row r="123" spans="1:2" x14ac:dyDescent="0.25">
      <c r="A123" s="135"/>
      <c r="B123" s="135"/>
    </row>
    <row r="124" spans="1:2" x14ac:dyDescent="0.25">
      <c r="A124" s="135"/>
      <c r="B124" s="135"/>
    </row>
    <row r="125" spans="1:2" x14ac:dyDescent="0.25">
      <c r="A125" s="135"/>
      <c r="B125" s="135"/>
    </row>
    <row r="126" spans="1:2" x14ac:dyDescent="0.25">
      <c r="A126" s="135"/>
      <c r="B126" s="135"/>
    </row>
    <row r="127" spans="1:2" x14ac:dyDescent="0.25">
      <c r="A127" s="135"/>
      <c r="B127" s="135"/>
    </row>
    <row r="128" spans="1:2" x14ac:dyDescent="0.25">
      <c r="A128" s="135"/>
      <c r="B128" s="135"/>
    </row>
    <row r="129" spans="1:2" x14ac:dyDescent="0.25">
      <c r="A129" s="135"/>
      <c r="B129" s="135"/>
    </row>
    <row r="130" spans="1:2" x14ac:dyDescent="0.25">
      <c r="A130" s="135"/>
      <c r="B130" s="135"/>
    </row>
    <row r="131" spans="1:2" x14ac:dyDescent="0.25">
      <c r="A131" s="135"/>
      <c r="B131" s="135"/>
    </row>
    <row r="132" spans="1:2" x14ac:dyDescent="0.25">
      <c r="A132" s="135"/>
      <c r="B132" s="135"/>
    </row>
    <row r="133" spans="1:2" x14ac:dyDescent="0.25">
      <c r="A133" s="135"/>
      <c r="B133" s="135"/>
    </row>
    <row r="134" spans="1:2" x14ac:dyDescent="0.25">
      <c r="A134" s="135"/>
      <c r="B134" s="135"/>
    </row>
    <row r="135" spans="1:2" x14ac:dyDescent="0.25">
      <c r="A135" s="135"/>
      <c r="B135" s="135"/>
    </row>
    <row r="136" spans="1:2" x14ac:dyDescent="0.25">
      <c r="A136" s="135"/>
      <c r="B136" s="135"/>
    </row>
    <row r="137" spans="1:2" x14ac:dyDescent="0.25">
      <c r="A137" s="135"/>
      <c r="B137" s="135"/>
    </row>
    <row r="138" spans="1:2" x14ac:dyDescent="0.25">
      <c r="A138" s="135"/>
      <c r="B138" s="135"/>
    </row>
    <row r="139" spans="1:2" x14ac:dyDescent="0.25">
      <c r="A139" s="135"/>
      <c r="B139" s="135"/>
    </row>
    <row r="140" spans="1:2" x14ac:dyDescent="0.25">
      <c r="A140" s="135"/>
      <c r="B140" s="135"/>
    </row>
    <row r="141" spans="1:2" x14ac:dyDescent="0.25">
      <c r="A141" s="135"/>
      <c r="B141" s="135"/>
    </row>
    <row r="142" spans="1:2" x14ac:dyDescent="0.25">
      <c r="A142" s="135"/>
      <c r="B142" s="135"/>
    </row>
    <row r="143" spans="1:2" x14ac:dyDescent="0.25">
      <c r="A143" s="135"/>
      <c r="B143" s="135"/>
    </row>
    <row r="144" spans="1:2" x14ac:dyDescent="0.25">
      <c r="A144" s="135"/>
      <c r="B144" s="135"/>
    </row>
    <row r="145" spans="1:2" x14ac:dyDescent="0.25">
      <c r="A145" s="135"/>
      <c r="B145" s="135"/>
    </row>
    <row r="146" spans="1:2" x14ac:dyDescent="0.25">
      <c r="A146" s="135"/>
      <c r="B146" s="135"/>
    </row>
    <row r="147" spans="1:2" x14ac:dyDescent="0.25">
      <c r="A147" s="135"/>
      <c r="B147" s="135"/>
    </row>
    <row r="148" spans="1:2" x14ac:dyDescent="0.25">
      <c r="A148" s="135"/>
      <c r="B148" s="135"/>
    </row>
    <row r="149" spans="1:2" x14ac:dyDescent="0.25">
      <c r="A149" s="135"/>
      <c r="B149" s="135"/>
    </row>
    <row r="150" spans="1:2" x14ac:dyDescent="0.25">
      <c r="A150" s="135"/>
      <c r="B150" s="135"/>
    </row>
    <row r="151" spans="1:2" x14ac:dyDescent="0.25">
      <c r="A151" s="135"/>
      <c r="B151" s="135"/>
    </row>
    <row r="152" spans="1:2" x14ac:dyDescent="0.25">
      <c r="A152" s="135"/>
      <c r="B152" s="135"/>
    </row>
    <row r="153" spans="1:2" x14ac:dyDescent="0.25">
      <c r="A153" s="135"/>
      <c r="B153" s="135"/>
    </row>
    <row r="154" spans="1:2" x14ac:dyDescent="0.25">
      <c r="A154" s="135"/>
      <c r="B154" s="135"/>
    </row>
    <row r="155" spans="1:2" x14ac:dyDescent="0.25">
      <c r="A155" s="135"/>
      <c r="B155" s="135"/>
    </row>
    <row r="156" spans="1:2" x14ac:dyDescent="0.25">
      <c r="A156" s="135"/>
      <c r="B156" s="135"/>
    </row>
    <row r="157" spans="1:2" x14ac:dyDescent="0.25">
      <c r="A157" s="135"/>
      <c r="B157" s="135"/>
    </row>
    <row r="158" spans="1:2" x14ac:dyDescent="0.25">
      <c r="A158" s="135"/>
      <c r="B158" s="135"/>
    </row>
    <row r="159" spans="1:2" x14ac:dyDescent="0.25">
      <c r="A159" s="135"/>
      <c r="B159" s="135"/>
    </row>
    <row r="160" spans="1:2" x14ac:dyDescent="0.25">
      <c r="A160" s="135"/>
      <c r="B160" s="135"/>
    </row>
    <row r="161" spans="1:2" x14ac:dyDescent="0.25">
      <c r="A161" s="135"/>
      <c r="B161" s="135"/>
    </row>
    <row r="162" spans="1:2" x14ac:dyDescent="0.25">
      <c r="A162" s="135"/>
      <c r="B162" s="135"/>
    </row>
    <row r="163" spans="1:2" x14ac:dyDescent="0.25">
      <c r="A163" s="135"/>
      <c r="B163" s="135"/>
    </row>
    <row r="164" spans="1:2" x14ac:dyDescent="0.25">
      <c r="A164" s="135"/>
      <c r="B164" s="135"/>
    </row>
    <row r="165" spans="1:2" x14ac:dyDescent="0.25">
      <c r="A165" s="135"/>
      <c r="B165" s="135"/>
    </row>
    <row r="166" spans="1:2" x14ac:dyDescent="0.25">
      <c r="A166" s="135"/>
      <c r="B166" s="135"/>
    </row>
    <row r="167" spans="1:2" x14ac:dyDescent="0.25">
      <c r="A167" s="135"/>
      <c r="B167" s="135"/>
    </row>
    <row r="168" spans="1:2" x14ac:dyDescent="0.25">
      <c r="A168" s="135"/>
      <c r="B168" s="135"/>
    </row>
    <row r="169" spans="1:2" x14ac:dyDescent="0.25">
      <c r="A169" s="135"/>
      <c r="B169" s="135"/>
    </row>
    <row r="170" spans="1:2" x14ac:dyDescent="0.25">
      <c r="A170" s="135"/>
      <c r="B170" s="135"/>
    </row>
    <row r="171" spans="1:2" x14ac:dyDescent="0.25">
      <c r="A171" s="135"/>
      <c r="B171" s="135"/>
    </row>
    <row r="172" spans="1:2" x14ac:dyDescent="0.25">
      <c r="A172" s="135"/>
      <c r="B172" s="135"/>
    </row>
    <row r="173" spans="1:2" x14ac:dyDescent="0.25">
      <c r="A173" s="135"/>
      <c r="B173" s="135"/>
    </row>
    <row r="174" spans="1:2" x14ac:dyDescent="0.25">
      <c r="A174" s="135"/>
      <c r="B174" s="135"/>
    </row>
    <row r="175" spans="1:2" x14ac:dyDescent="0.25">
      <c r="A175" s="135"/>
      <c r="B175" s="135"/>
    </row>
    <row r="176" spans="1:2" x14ac:dyDescent="0.25">
      <c r="A176" s="135"/>
      <c r="B176" s="135"/>
    </row>
    <row r="177" spans="1:2" x14ac:dyDescent="0.25">
      <c r="A177" s="135"/>
      <c r="B177" s="135"/>
    </row>
    <row r="178" spans="1:2" x14ac:dyDescent="0.25">
      <c r="A178" s="135"/>
      <c r="B178" s="135"/>
    </row>
    <row r="179" spans="1:2" x14ac:dyDescent="0.25">
      <c r="A179" s="135"/>
      <c r="B179" s="135"/>
    </row>
    <row r="180" spans="1:2" x14ac:dyDescent="0.25">
      <c r="A180" s="135"/>
      <c r="B180" s="135"/>
    </row>
    <row r="181" spans="1:2" x14ac:dyDescent="0.25">
      <c r="A181" s="135"/>
      <c r="B181" s="135"/>
    </row>
    <row r="182" spans="1:2" x14ac:dyDescent="0.25">
      <c r="A182" s="135"/>
      <c r="B182" s="135"/>
    </row>
    <row r="183" spans="1:2" x14ac:dyDescent="0.25">
      <c r="A183" s="135"/>
      <c r="B183" s="135"/>
    </row>
    <row r="184" spans="1:2" x14ac:dyDescent="0.25">
      <c r="A184" s="135"/>
      <c r="B184" s="135"/>
    </row>
    <row r="185" spans="1:2" x14ac:dyDescent="0.25">
      <c r="A185" s="135"/>
      <c r="B185" s="135"/>
    </row>
    <row r="186" spans="1:2" x14ac:dyDescent="0.25">
      <c r="A186" s="135"/>
      <c r="B186" s="135"/>
    </row>
    <row r="187" spans="1:2" x14ac:dyDescent="0.25">
      <c r="A187" s="135"/>
      <c r="B187" s="135"/>
    </row>
    <row r="188" spans="1:2" x14ac:dyDescent="0.25">
      <c r="A188" s="135"/>
      <c r="B188" s="135"/>
    </row>
    <row r="189" spans="1:2" x14ac:dyDescent="0.25">
      <c r="A189" s="135"/>
      <c r="B189" s="135"/>
    </row>
    <row r="190" spans="1:2" x14ac:dyDescent="0.25">
      <c r="A190" s="135"/>
      <c r="B190" s="135"/>
    </row>
    <row r="191" spans="1:2" x14ac:dyDescent="0.25">
      <c r="A191" s="135"/>
      <c r="B191" s="135"/>
    </row>
    <row r="192" spans="1:2" x14ac:dyDescent="0.25">
      <c r="A192" s="135"/>
      <c r="B192" s="135"/>
    </row>
    <row r="193" spans="1:2" x14ac:dyDescent="0.25">
      <c r="A193" s="135"/>
      <c r="B193" s="135"/>
    </row>
    <row r="194" spans="1:2" x14ac:dyDescent="0.25">
      <c r="A194" s="135"/>
      <c r="B194" s="135"/>
    </row>
    <row r="195" spans="1:2" x14ac:dyDescent="0.25">
      <c r="A195" s="135"/>
      <c r="B195" s="135"/>
    </row>
    <row r="196" spans="1:2" x14ac:dyDescent="0.25">
      <c r="A196" s="135"/>
      <c r="B196" s="135"/>
    </row>
    <row r="197" spans="1:2" x14ac:dyDescent="0.25">
      <c r="A197" s="135"/>
      <c r="B197" s="135"/>
    </row>
    <row r="198" spans="1:2" x14ac:dyDescent="0.25">
      <c r="A198" s="135"/>
      <c r="B198" s="135"/>
    </row>
    <row r="199" spans="1:2" x14ac:dyDescent="0.25">
      <c r="A199" s="135"/>
      <c r="B199" s="135"/>
    </row>
    <row r="200" spans="1:2" x14ac:dyDescent="0.25">
      <c r="A200" s="135"/>
      <c r="B200" s="135"/>
    </row>
    <row r="201" spans="1:2" x14ac:dyDescent="0.25">
      <c r="A201" s="135"/>
      <c r="B201" s="135"/>
    </row>
    <row r="202" spans="1:2" x14ac:dyDescent="0.25">
      <c r="A202" s="135"/>
      <c r="B202" s="135"/>
    </row>
    <row r="203" spans="1:2" x14ac:dyDescent="0.25">
      <c r="A203" s="135"/>
      <c r="B203" s="135"/>
    </row>
    <row r="204" spans="1:2" x14ac:dyDescent="0.25">
      <c r="A204" s="135"/>
      <c r="B204" s="135"/>
    </row>
    <row r="205" spans="1:2" x14ac:dyDescent="0.25">
      <c r="A205" s="135"/>
      <c r="B205" s="135"/>
    </row>
    <row r="206" spans="1:2" x14ac:dyDescent="0.25">
      <c r="A206" s="135"/>
      <c r="B206" s="135"/>
    </row>
    <row r="207" spans="1:2" x14ac:dyDescent="0.25">
      <c r="A207" s="135"/>
      <c r="B207" s="135"/>
    </row>
    <row r="208" spans="1:2" x14ac:dyDescent="0.25">
      <c r="A208" s="135"/>
      <c r="B208" s="135"/>
    </row>
    <row r="209" spans="1:2" x14ac:dyDescent="0.25">
      <c r="A209" s="135"/>
      <c r="B209" s="135"/>
    </row>
    <row r="210" spans="1:2" x14ac:dyDescent="0.25">
      <c r="A210" s="135"/>
      <c r="B210" s="135"/>
    </row>
    <row r="211" spans="1:2" x14ac:dyDescent="0.25">
      <c r="A211" s="135"/>
      <c r="B211" s="135"/>
    </row>
    <row r="212" spans="1:2" x14ac:dyDescent="0.25">
      <c r="A212" s="135"/>
      <c r="B212" s="135"/>
    </row>
    <row r="213" spans="1:2" x14ac:dyDescent="0.25">
      <c r="A213" s="135"/>
      <c r="B213" s="135"/>
    </row>
    <row r="214" spans="1:2" x14ac:dyDescent="0.25">
      <c r="A214" s="135"/>
      <c r="B214" s="135"/>
    </row>
    <row r="215" spans="1:2" x14ac:dyDescent="0.25">
      <c r="A215" s="135"/>
      <c r="B215" s="135"/>
    </row>
    <row r="216" spans="1:2" x14ac:dyDescent="0.25">
      <c r="A216" s="135"/>
      <c r="B216" s="135"/>
    </row>
    <row r="217" spans="1:2" x14ac:dyDescent="0.25">
      <c r="A217" s="135"/>
      <c r="B217" s="135"/>
    </row>
    <row r="218" spans="1:2" x14ac:dyDescent="0.25">
      <c r="A218" s="135"/>
      <c r="B218" s="135"/>
    </row>
    <row r="219" spans="1:2" x14ac:dyDescent="0.25">
      <c r="A219" s="135"/>
      <c r="B219" s="135"/>
    </row>
    <row r="220" spans="1:2" x14ac:dyDescent="0.25">
      <c r="A220" s="135"/>
      <c r="B220" s="135"/>
    </row>
    <row r="221" spans="1:2" x14ac:dyDescent="0.25">
      <c r="A221" s="135"/>
      <c r="B221" s="135"/>
    </row>
    <row r="222" spans="1:2" x14ac:dyDescent="0.25">
      <c r="A222" s="135"/>
      <c r="B222" s="135"/>
    </row>
    <row r="223" spans="1:2" x14ac:dyDescent="0.25">
      <c r="A223" s="135"/>
      <c r="B223" s="135"/>
    </row>
    <row r="224" spans="1:2" x14ac:dyDescent="0.25">
      <c r="A224" s="135"/>
      <c r="B224" s="135"/>
    </row>
    <row r="225" spans="1:2" x14ac:dyDescent="0.25">
      <c r="A225" s="135"/>
      <c r="B225" s="135"/>
    </row>
    <row r="226" spans="1:2" x14ac:dyDescent="0.25">
      <c r="A226" s="135"/>
      <c r="B226" s="135"/>
    </row>
    <row r="227" spans="1:2" x14ac:dyDescent="0.25">
      <c r="A227" s="135"/>
      <c r="B227" s="135"/>
    </row>
    <row r="228" spans="1:2" x14ac:dyDescent="0.25">
      <c r="A228" s="135"/>
      <c r="B228" s="135"/>
    </row>
    <row r="229" spans="1:2" x14ac:dyDescent="0.25">
      <c r="A229" s="135"/>
      <c r="B229" s="135"/>
    </row>
    <row r="230" spans="1:2" x14ac:dyDescent="0.25">
      <c r="A230" s="135"/>
      <c r="B230" s="135"/>
    </row>
    <row r="231" spans="1:2" x14ac:dyDescent="0.25">
      <c r="A231" s="135"/>
      <c r="B231" s="135"/>
    </row>
    <row r="232" spans="1:2" x14ac:dyDescent="0.25">
      <c r="A232" s="135"/>
      <c r="B232" s="135"/>
    </row>
    <row r="233" spans="1:2" x14ac:dyDescent="0.25">
      <c r="A233" s="135"/>
      <c r="B233" s="135"/>
    </row>
    <row r="234" spans="1:2" x14ac:dyDescent="0.25">
      <c r="A234" s="135"/>
      <c r="B234" s="135"/>
    </row>
    <row r="235" spans="1:2" x14ac:dyDescent="0.25">
      <c r="A235" s="135"/>
      <c r="B235" s="135"/>
    </row>
    <row r="236" spans="1:2" x14ac:dyDescent="0.25">
      <c r="A236" s="135"/>
      <c r="B236" s="135"/>
    </row>
    <row r="237" spans="1:2" x14ac:dyDescent="0.25">
      <c r="A237" s="135"/>
      <c r="B237" s="135"/>
    </row>
    <row r="238" spans="1:2" x14ac:dyDescent="0.25">
      <c r="A238" s="135"/>
      <c r="B238" s="135"/>
    </row>
    <row r="239" spans="1:2" x14ac:dyDescent="0.25">
      <c r="A239" s="135"/>
      <c r="B239" s="135"/>
    </row>
    <row r="240" spans="1:2" x14ac:dyDescent="0.25">
      <c r="A240" s="135"/>
      <c r="B240" s="135"/>
    </row>
    <row r="241" spans="1:2" x14ac:dyDescent="0.25">
      <c r="A241" s="135"/>
      <c r="B241" s="135"/>
    </row>
    <row r="242" spans="1:2" x14ac:dyDescent="0.25">
      <c r="A242" s="135"/>
      <c r="B242" s="135"/>
    </row>
    <row r="243" spans="1:2" x14ac:dyDescent="0.25">
      <c r="A243" s="135"/>
      <c r="B243" s="135"/>
    </row>
    <row r="244" spans="1:2" x14ac:dyDescent="0.25">
      <c r="A244" s="135"/>
      <c r="B244" s="135"/>
    </row>
    <row r="245" spans="1:2" x14ac:dyDescent="0.25">
      <c r="A245" s="135"/>
      <c r="B245" s="135"/>
    </row>
    <row r="246" spans="1:2" x14ac:dyDescent="0.25">
      <c r="A246" s="135"/>
      <c r="B246" s="135"/>
    </row>
    <row r="247" spans="1:2" x14ac:dyDescent="0.25">
      <c r="A247" s="135"/>
      <c r="B247" s="135"/>
    </row>
    <row r="248" spans="1:2" x14ac:dyDescent="0.25">
      <c r="A248" s="135"/>
      <c r="B248" s="135"/>
    </row>
    <row r="249" spans="1:2" x14ac:dyDescent="0.25">
      <c r="A249" s="135"/>
      <c r="B249" s="135"/>
    </row>
    <row r="250" spans="1:2" x14ac:dyDescent="0.25">
      <c r="A250" s="135"/>
      <c r="B250" s="135"/>
    </row>
    <row r="251" spans="1:2" x14ac:dyDescent="0.25">
      <c r="A251" s="135"/>
      <c r="B251" s="135"/>
    </row>
    <row r="252" spans="1:2" x14ac:dyDescent="0.25">
      <c r="A252" s="135"/>
      <c r="B252" s="135"/>
    </row>
    <row r="253" spans="1:2" x14ac:dyDescent="0.25">
      <c r="A253" s="135"/>
      <c r="B253" s="135"/>
    </row>
    <row r="254" spans="1:2" x14ac:dyDescent="0.25">
      <c r="A254" s="135"/>
      <c r="B254" s="135"/>
    </row>
    <row r="255" spans="1:2" x14ac:dyDescent="0.25">
      <c r="A255" s="135"/>
      <c r="B255" s="135"/>
    </row>
    <row r="256" spans="1:2" x14ac:dyDescent="0.25">
      <c r="A256" s="135"/>
      <c r="B256" s="135"/>
    </row>
    <row r="257" spans="1:2" x14ac:dyDescent="0.25">
      <c r="A257" s="135"/>
      <c r="B257" s="135"/>
    </row>
    <row r="258" spans="1:2" x14ac:dyDescent="0.25">
      <c r="A258" s="135"/>
      <c r="B258" s="135"/>
    </row>
    <row r="259" spans="1:2" x14ac:dyDescent="0.25">
      <c r="A259" s="135"/>
      <c r="B259" s="135"/>
    </row>
    <row r="260" spans="1:2" x14ac:dyDescent="0.25">
      <c r="A260" s="135"/>
      <c r="B260" s="135"/>
    </row>
    <row r="261" spans="1:2" x14ac:dyDescent="0.25">
      <c r="A261" s="135"/>
      <c r="B261" s="135"/>
    </row>
    <row r="262" spans="1:2" x14ac:dyDescent="0.25">
      <c r="A262" s="135"/>
      <c r="B262" s="135"/>
    </row>
    <row r="263" spans="1:2" x14ac:dyDescent="0.25">
      <c r="A263" s="135"/>
      <c r="B263" s="135"/>
    </row>
    <row r="264" spans="1:2" x14ac:dyDescent="0.25">
      <c r="A264" s="135"/>
      <c r="B264" s="135"/>
    </row>
    <row r="265" spans="1:2" x14ac:dyDescent="0.25">
      <c r="A265" s="135"/>
      <c r="B265" s="135"/>
    </row>
    <row r="266" spans="1:2" x14ac:dyDescent="0.25">
      <c r="A266" s="135"/>
      <c r="B266" s="135"/>
    </row>
    <row r="267" spans="1:2" x14ac:dyDescent="0.25">
      <c r="A267" s="135"/>
      <c r="B267" s="135"/>
    </row>
    <row r="268" spans="1:2" x14ac:dyDescent="0.25">
      <c r="A268" s="135"/>
      <c r="B268" s="135"/>
    </row>
    <row r="269" spans="1:2" x14ac:dyDescent="0.25">
      <c r="A269" s="135"/>
      <c r="B269" s="135"/>
    </row>
    <row r="270" spans="1:2" x14ac:dyDescent="0.25">
      <c r="A270" s="135"/>
      <c r="B270" s="135"/>
    </row>
    <row r="271" spans="1:2" x14ac:dyDescent="0.25">
      <c r="A271" s="135"/>
      <c r="B271" s="135"/>
    </row>
    <row r="272" spans="1:2" x14ac:dyDescent="0.25">
      <c r="A272" s="135"/>
      <c r="B272" s="135"/>
    </row>
    <row r="273" spans="1:2" x14ac:dyDescent="0.25">
      <c r="A273" s="135"/>
      <c r="B273" s="135"/>
    </row>
    <row r="274" spans="1:2" x14ac:dyDescent="0.25">
      <c r="A274" s="135"/>
      <c r="B274" s="135"/>
    </row>
    <row r="275" spans="1:2" x14ac:dyDescent="0.25">
      <c r="A275" s="135"/>
      <c r="B275" s="135"/>
    </row>
    <row r="276" spans="1:2" x14ac:dyDescent="0.25">
      <c r="A276" s="135"/>
      <c r="B276" s="135"/>
    </row>
    <row r="277" spans="1:2" x14ac:dyDescent="0.25">
      <c r="A277" s="135"/>
      <c r="B277" s="135"/>
    </row>
    <row r="278" spans="1:2" x14ac:dyDescent="0.25">
      <c r="A278" s="135"/>
      <c r="B278" s="135"/>
    </row>
    <row r="279" spans="1:2" s="58" customFormat="1" ht="12.75" x14ac:dyDescent="0.2"/>
    <row r="280" spans="1:2" s="58" customFormat="1" ht="12.75" x14ac:dyDescent="0.2"/>
    <row r="281" spans="1:2" s="58" customFormat="1" ht="12.75" x14ac:dyDescent="0.2"/>
    <row r="282" spans="1:2" s="58" customFormat="1" ht="12.75" x14ac:dyDescent="0.2"/>
    <row r="283" spans="1:2" s="58" customFormat="1" ht="12.75" x14ac:dyDescent="0.2"/>
    <row r="284" spans="1:2" s="58" customFormat="1" ht="12.75" x14ac:dyDescent="0.2"/>
    <row r="285" spans="1:2" s="58" customFormat="1" ht="12.75" x14ac:dyDescent="0.2"/>
    <row r="286" spans="1:2" s="58" customFormat="1" ht="12.75" x14ac:dyDescent="0.2"/>
    <row r="287" spans="1:2" s="58" customFormat="1" ht="12.75" x14ac:dyDescent="0.2"/>
    <row r="288" spans="1:2" s="58" customFormat="1" ht="12.75" x14ac:dyDescent="0.2"/>
    <row r="289" s="58" customFormat="1" ht="12.75" x14ac:dyDescent="0.2"/>
    <row r="290" s="58" customFormat="1" ht="12.75" x14ac:dyDescent="0.2"/>
    <row r="291" s="58" customFormat="1" ht="12.75" x14ac:dyDescent="0.2"/>
    <row r="292" s="58" customFormat="1" ht="12.75" x14ac:dyDescent="0.2"/>
    <row r="293" s="58" customFormat="1" ht="12.75" x14ac:dyDescent="0.2"/>
    <row r="294" s="58" customFormat="1" ht="12.75" x14ac:dyDescent="0.2"/>
    <row r="295" s="58" customFormat="1" ht="12.75" x14ac:dyDescent="0.2"/>
    <row r="296" s="58" customFormat="1" ht="12.75" x14ac:dyDescent="0.2"/>
    <row r="297" s="58" customFormat="1" ht="12.75" x14ac:dyDescent="0.2"/>
    <row r="298" s="58" customFormat="1" ht="12.75" x14ac:dyDescent="0.2"/>
    <row r="299" s="58" customFormat="1" ht="12.75" x14ac:dyDescent="0.2"/>
    <row r="300" s="58" customFormat="1" ht="12.75" x14ac:dyDescent="0.2"/>
    <row r="301" s="58" customFormat="1" ht="12.75" x14ac:dyDescent="0.2"/>
    <row r="302" s="58" customFormat="1" ht="12.75" x14ac:dyDescent="0.2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  <row r="307" s="58" customFormat="1" ht="12.75" x14ac:dyDescent="0.2"/>
    <row r="308" s="58" customFormat="1" ht="12.75" x14ac:dyDescent="0.2"/>
    <row r="309" s="58" customFormat="1" ht="12.75" x14ac:dyDescent="0.2"/>
  </sheetData>
  <mergeCells count="1">
    <mergeCell ref="A1:F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AC6A49F-C9CF-43B5-959D-2A9ABFEEE4E3}">
          <x14:formula1>
            <xm:f>MESTRE!$A$2:$A$21</xm:f>
          </x14:formula1>
          <xm:sqref>A3:A22 A23:A42 A43:A62 A64:A83 A151:A306 A128:A147 A85:A104 A106:A124</xm:sqref>
        </x14:dataValidation>
        <x14:dataValidation type="list" allowBlank="1" showInputMessage="1" showErrorMessage="1" xr:uid="{CE5DFC8F-7C11-4AFA-97FC-46F6A2C91455}">
          <x14:formula1>
            <xm:f>MESTRE!$C$2:$C$8</xm:f>
          </x14:formula1>
          <xm:sqref>B151:B567</xm:sqref>
        </x14:dataValidation>
        <x14:dataValidation type="list" allowBlank="1" showInputMessage="1" showErrorMessage="1" xr:uid="{403D29C6-B19E-4F9D-A582-2034DEE10CA8}">
          <x14:formula1>
            <xm:f>MESTRE!$E$2:$E$30</xm:f>
          </x14:formula1>
          <xm:sqref>B3:B42</xm:sqref>
        </x14:dataValidation>
        <x14:dataValidation type="list" allowBlank="1" showInputMessage="1" showErrorMessage="1" xr:uid="{47C2F1C4-0D3E-4223-AC1F-35C24974CBE4}">
          <x14:formula1>
            <xm:f>MESTRE!$A$2:$A$2096</xm:f>
          </x14:formula1>
          <xm:sqref>A125:A127 A105 A84 A63 A148:A150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60EF-4D8A-43EF-BA55-FFC9264C7369}">
  <sheetPr>
    <tabColor rgb="FFE0F5AD"/>
  </sheetPr>
  <dimension ref="A1:G309"/>
  <sheetViews>
    <sheetView showGridLines="0" workbookViewId="0">
      <selection activeCell="G10" sqref="G10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5.85546875" customWidth="1"/>
    <col min="8" max="9" width="10.42578125" customWidth="1"/>
  </cols>
  <sheetData>
    <row r="1" spans="1:7" s="182" customFormat="1" ht="24" customHeight="1" thickBot="1" x14ac:dyDescent="0.35">
      <c r="A1" s="400" t="s">
        <v>69</v>
      </c>
      <c r="B1" s="401"/>
      <c r="C1" s="401"/>
      <c r="D1" s="401"/>
      <c r="E1" s="401"/>
      <c r="F1" s="402"/>
      <c r="G1" s="181"/>
    </row>
    <row r="2" spans="1:7" s="9" customFormat="1" ht="36" customHeight="1" x14ac:dyDescent="0.25">
      <c r="A2" s="185" t="s">
        <v>0</v>
      </c>
      <c r="B2" s="157" t="s">
        <v>24</v>
      </c>
      <c r="C2" s="188" t="s">
        <v>32</v>
      </c>
      <c r="D2" s="189" t="s">
        <v>33</v>
      </c>
      <c r="E2" s="189" t="s">
        <v>34</v>
      </c>
      <c r="F2" s="190" t="s">
        <v>35</v>
      </c>
    </row>
    <row r="3" spans="1:7" x14ac:dyDescent="0.25">
      <c r="A3"/>
      <c r="B3"/>
      <c r="C3"/>
      <c r="D3"/>
      <c r="E3"/>
      <c r="F3"/>
    </row>
    <row r="4" spans="1:7" ht="39" x14ac:dyDescent="0.6">
      <c r="A4" s="205" t="s">
        <v>70</v>
      </c>
      <c r="B4"/>
      <c r="C4"/>
      <c r="D4"/>
      <c r="E4"/>
      <c r="F4"/>
    </row>
    <row r="5" spans="1:7" x14ac:dyDescent="0.25">
      <c r="A5" t="s">
        <v>71</v>
      </c>
      <c r="B5"/>
      <c r="C5"/>
      <c r="D5"/>
      <c r="E5"/>
      <c r="F5"/>
    </row>
    <row r="6" spans="1:7" x14ac:dyDescent="0.25">
      <c r="A6" t="s">
        <v>72</v>
      </c>
      <c r="B6"/>
      <c r="C6"/>
      <c r="D6"/>
      <c r="E6"/>
      <c r="F6"/>
    </row>
    <row r="7" spans="1:7" x14ac:dyDescent="0.25">
      <c r="A7"/>
      <c r="B7"/>
      <c r="C7"/>
      <c r="D7"/>
      <c r="E7"/>
      <c r="F7"/>
    </row>
    <row r="8" spans="1:7" x14ac:dyDescent="0.25">
      <c r="A8"/>
      <c r="B8"/>
      <c r="C8"/>
      <c r="D8"/>
      <c r="E8"/>
      <c r="F8"/>
    </row>
    <row r="9" spans="1:7" x14ac:dyDescent="0.25">
      <c r="A9"/>
      <c r="B9"/>
      <c r="C9"/>
      <c r="D9"/>
      <c r="E9"/>
      <c r="F9"/>
    </row>
    <row r="10" spans="1:7" x14ac:dyDescent="0.25">
      <c r="A10"/>
      <c r="B10"/>
      <c r="C10"/>
      <c r="D10"/>
      <c r="E10"/>
      <c r="F10"/>
    </row>
    <row r="11" spans="1:7" x14ac:dyDescent="0.25">
      <c r="A11"/>
      <c r="B11"/>
      <c r="C11"/>
      <c r="D11"/>
      <c r="E11"/>
      <c r="F11"/>
    </row>
    <row r="12" spans="1:7" x14ac:dyDescent="0.25">
      <c r="A12"/>
      <c r="B12"/>
      <c r="C12"/>
      <c r="D12"/>
      <c r="E12"/>
      <c r="F12"/>
    </row>
    <row r="13" spans="1:7" x14ac:dyDescent="0.25">
      <c r="A13"/>
      <c r="B13"/>
      <c r="C13"/>
      <c r="D13"/>
      <c r="E13"/>
      <c r="F13"/>
    </row>
    <row r="14" spans="1:7" x14ac:dyDescent="0.25">
      <c r="A14"/>
      <c r="B14"/>
      <c r="C14"/>
      <c r="D14"/>
      <c r="E14"/>
      <c r="F14"/>
    </row>
    <row r="15" spans="1:7" x14ac:dyDescent="0.25">
      <c r="A15"/>
      <c r="B15"/>
      <c r="C15"/>
      <c r="D15"/>
      <c r="E15"/>
      <c r="F15"/>
    </row>
    <row r="16" spans="1:7" x14ac:dyDescent="0.25">
      <c r="A16"/>
      <c r="B16"/>
      <c r="C16"/>
      <c r="D16"/>
      <c r="E16"/>
      <c r="F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spans="1:6" x14ac:dyDescent="0.25">
      <c r="A129"/>
      <c r="B129"/>
      <c r="C129"/>
      <c r="D129"/>
      <c r="E129"/>
      <c r="F129"/>
    </row>
    <row r="130" spans="1:6" x14ac:dyDescent="0.25">
      <c r="A130"/>
      <c r="B130"/>
      <c r="C130"/>
      <c r="D130"/>
      <c r="E130"/>
      <c r="F130"/>
    </row>
    <row r="131" spans="1:6" x14ac:dyDescent="0.25">
      <c r="A131"/>
      <c r="B131"/>
      <c r="C131"/>
      <c r="D131"/>
      <c r="E131"/>
      <c r="F131"/>
    </row>
    <row r="132" spans="1:6" x14ac:dyDescent="0.25">
      <c r="A132"/>
      <c r="B132"/>
      <c r="C132"/>
      <c r="D132"/>
      <c r="E132"/>
      <c r="F132"/>
    </row>
    <row r="133" spans="1:6" x14ac:dyDescent="0.25">
      <c r="A133"/>
      <c r="B133"/>
      <c r="C133"/>
      <c r="D133"/>
      <c r="E133"/>
      <c r="F133"/>
    </row>
    <row r="134" spans="1:6" x14ac:dyDescent="0.25">
      <c r="A134"/>
      <c r="B134"/>
      <c r="C134"/>
      <c r="D134"/>
      <c r="E134"/>
      <c r="F134"/>
    </row>
    <row r="135" spans="1:6" x14ac:dyDescent="0.25">
      <c r="A135"/>
      <c r="B135"/>
      <c r="C135"/>
      <c r="D135"/>
      <c r="E135"/>
      <c r="F135"/>
    </row>
    <row r="136" spans="1:6" x14ac:dyDescent="0.25">
      <c r="A136"/>
      <c r="B136"/>
      <c r="C136"/>
      <c r="D136"/>
      <c r="E136"/>
      <c r="F136"/>
    </row>
    <row r="137" spans="1:6" x14ac:dyDescent="0.25">
      <c r="A137" s="135"/>
      <c r="B137" s="135"/>
    </row>
    <row r="138" spans="1:6" x14ac:dyDescent="0.25">
      <c r="A138" s="135"/>
      <c r="B138" s="135"/>
    </row>
    <row r="139" spans="1:6" x14ac:dyDescent="0.25">
      <c r="A139" s="135"/>
      <c r="B139" s="135"/>
    </row>
    <row r="140" spans="1:6" x14ac:dyDescent="0.25">
      <c r="A140" s="135"/>
      <c r="B140" s="135"/>
    </row>
    <row r="141" spans="1:6" x14ac:dyDescent="0.25">
      <c r="A141" s="135"/>
      <c r="B141" s="135"/>
    </row>
    <row r="142" spans="1:6" x14ac:dyDescent="0.25">
      <c r="A142" s="135"/>
      <c r="B142" s="135"/>
    </row>
    <row r="143" spans="1:6" x14ac:dyDescent="0.25">
      <c r="A143" s="135"/>
      <c r="B143" s="135"/>
    </row>
    <row r="144" spans="1:6" x14ac:dyDescent="0.25">
      <c r="A144" s="135"/>
      <c r="B144" s="135"/>
    </row>
    <row r="145" spans="1:2" x14ac:dyDescent="0.25">
      <c r="A145" s="135"/>
      <c r="B145" s="135"/>
    </row>
    <row r="146" spans="1:2" x14ac:dyDescent="0.25">
      <c r="A146" s="135"/>
      <c r="B146" s="135"/>
    </row>
    <row r="147" spans="1:2" x14ac:dyDescent="0.25">
      <c r="A147" s="135"/>
      <c r="B147" s="135"/>
    </row>
    <row r="148" spans="1:2" x14ac:dyDescent="0.25">
      <c r="A148" s="135"/>
      <c r="B148" s="135"/>
    </row>
    <row r="149" spans="1:2" x14ac:dyDescent="0.25">
      <c r="A149" s="135"/>
      <c r="B149" s="135"/>
    </row>
    <row r="150" spans="1:2" x14ac:dyDescent="0.25">
      <c r="A150" s="135"/>
      <c r="B150" s="135"/>
    </row>
    <row r="151" spans="1:2" x14ac:dyDescent="0.25">
      <c r="A151" s="135"/>
      <c r="B151" s="135"/>
    </row>
    <row r="152" spans="1:2" x14ac:dyDescent="0.25">
      <c r="A152" s="135"/>
      <c r="B152" s="135"/>
    </row>
    <row r="153" spans="1:2" x14ac:dyDescent="0.25">
      <c r="A153" s="135"/>
      <c r="B153" s="135"/>
    </row>
    <row r="154" spans="1:2" x14ac:dyDescent="0.25">
      <c r="A154" s="135"/>
      <c r="B154" s="135"/>
    </row>
    <row r="155" spans="1:2" x14ac:dyDescent="0.25">
      <c r="A155" s="135"/>
      <c r="B155" s="135"/>
    </row>
    <row r="156" spans="1:2" x14ac:dyDescent="0.25">
      <c r="A156" s="135"/>
      <c r="B156" s="135"/>
    </row>
    <row r="157" spans="1:2" x14ac:dyDescent="0.25">
      <c r="A157" s="135"/>
      <c r="B157" s="135"/>
    </row>
    <row r="158" spans="1:2" x14ac:dyDescent="0.25">
      <c r="A158" s="135"/>
      <c r="B158" s="135"/>
    </row>
    <row r="159" spans="1:2" x14ac:dyDescent="0.25">
      <c r="A159" s="135"/>
      <c r="B159" s="135"/>
    </row>
    <row r="160" spans="1:2" x14ac:dyDescent="0.25">
      <c r="A160" s="135"/>
      <c r="B160" s="135"/>
    </row>
    <row r="161" spans="1:2" x14ac:dyDescent="0.25">
      <c r="A161" s="135"/>
      <c r="B161" s="135"/>
    </row>
    <row r="162" spans="1:2" x14ac:dyDescent="0.25">
      <c r="A162" s="135"/>
      <c r="B162" s="135"/>
    </row>
    <row r="163" spans="1:2" x14ac:dyDescent="0.25">
      <c r="A163" s="135"/>
      <c r="B163" s="135"/>
    </row>
    <row r="164" spans="1:2" x14ac:dyDescent="0.25">
      <c r="A164" s="135"/>
      <c r="B164" s="135"/>
    </row>
    <row r="165" spans="1:2" x14ac:dyDescent="0.25">
      <c r="A165" s="135"/>
      <c r="B165" s="135"/>
    </row>
    <row r="166" spans="1:2" x14ac:dyDescent="0.25">
      <c r="A166" s="135"/>
      <c r="B166" s="135"/>
    </row>
    <row r="167" spans="1:2" x14ac:dyDescent="0.25">
      <c r="A167" s="135"/>
      <c r="B167" s="135"/>
    </row>
    <row r="168" spans="1:2" x14ac:dyDescent="0.25">
      <c r="A168" s="135"/>
      <c r="B168" s="135"/>
    </row>
    <row r="169" spans="1:2" x14ac:dyDescent="0.25">
      <c r="A169" s="135"/>
      <c r="B169" s="135"/>
    </row>
    <row r="170" spans="1:2" x14ac:dyDescent="0.25">
      <c r="A170" s="135"/>
      <c r="B170" s="135"/>
    </row>
    <row r="171" spans="1:2" x14ac:dyDescent="0.25">
      <c r="A171" s="135"/>
      <c r="B171" s="135"/>
    </row>
    <row r="172" spans="1:2" x14ac:dyDescent="0.25">
      <c r="A172" s="135"/>
      <c r="B172" s="135"/>
    </row>
    <row r="173" spans="1:2" x14ac:dyDescent="0.25">
      <c r="A173" s="135"/>
      <c r="B173" s="135"/>
    </row>
    <row r="174" spans="1:2" x14ac:dyDescent="0.25">
      <c r="A174" s="135"/>
      <c r="B174" s="135"/>
    </row>
    <row r="175" spans="1:2" x14ac:dyDescent="0.25">
      <c r="A175" s="135"/>
      <c r="B175" s="135"/>
    </row>
    <row r="176" spans="1:2" x14ac:dyDescent="0.25">
      <c r="A176" s="135"/>
      <c r="B176" s="135"/>
    </row>
    <row r="177" spans="1:2" x14ac:dyDescent="0.25">
      <c r="A177" s="135"/>
      <c r="B177" s="135"/>
    </row>
    <row r="178" spans="1:2" x14ac:dyDescent="0.25">
      <c r="A178" s="135"/>
      <c r="B178" s="135"/>
    </row>
    <row r="179" spans="1:2" x14ac:dyDescent="0.25">
      <c r="A179" s="135"/>
      <c r="B179" s="135"/>
    </row>
    <row r="180" spans="1:2" x14ac:dyDescent="0.25">
      <c r="A180" s="135"/>
      <c r="B180" s="135"/>
    </row>
    <row r="181" spans="1:2" x14ac:dyDescent="0.25">
      <c r="A181" s="135"/>
      <c r="B181" s="135"/>
    </row>
    <row r="182" spans="1:2" x14ac:dyDescent="0.25">
      <c r="A182" s="135"/>
      <c r="B182" s="135"/>
    </row>
    <row r="183" spans="1:2" x14ac:dyDescent="0.25">
      <c r="A183" s="135"/>
      <c r="B183" s="135"/>
    </row>
    <row r="184" spans="1:2" x14ac:dyDescent="0.25">
      <c r="A184" s="135"/>
      <c r="B184" s="135"/>
    </row>
    <row r="185" spans="1:2" x14ac:dyDescent="0.25">
      <c r="A185" s="135"/>
      <c r="B185" s="135"/>
    </row>
    <row r="186" spans="1:2" x14ac:dyDescent="0.25">
      <c r="A186" s="135"/>
      <c r="B186" s="135"/>
    </row>
    <row r="187" spans="1:2" x14ac:dyDescent="0.25">
      <c r="A187" s="135"/>
      <c r="B187" s="135"/>
    </row>
    <row r="188" spans="1:2" x14ac:dyDescent="0.25">
      <c r="A188" s="135"/>
      <c r="B188" s="135"/>
    </row>
    <row r="189" spans="1:2" x14ac:dyDescent="0.25">
      <c r="A189" s="135"/>
      <c r="B189" s="135"/>
    </row>
    <row r="190" spans="1:2" x14ac:dyDescent="0.25">
      <c r="A190" s="135"/>
      <c r="B190" s="135"/>
    </row>
    <row r="191" spans="1:2" x14ac:dyDescent="0.25">
      <c r="A191" s="135"/>
      <c r="B191" s="135"/>
    </row>
    <row r="192" spans="1:2" x14ac:dyDescent="0.25">
      <c r="A192" s="135"/>
      <c r="B192" s="135"/>
    </row>
    <row r="193" spans="1:2" x14ac:dyDescent="0.25">
      <c r="A193" s="135"/>
      <c r="B193" s="135"/>
    </row>
    <row r="194" spans="1:2" x14ac:dyDescent="0.25">
      <c r="A194" s="135"/>
      <c r="B194" s="135"/>
    </row>
    <row r="195" spans="1:2" x14ac:dyDescent="0.25">
      <c r="A195" s="135"/>
      <c r="B195" s="135"/>
    </row>
    <row r="196" spans="1:2" x14ac:dyDescent="0.25">
      <c r="A196" s="135"/>
      <c r="B196" s="135"/>
    </row>
    <row r="197" spans="1:2" x14ac:dyDescent="0.25">
      <c r="A197" s="135"/>
      <c r="B197" s="135"/>
    </row>
    <row r="198" spans="1:2" x14ac:dyDescent="0.25">
      <c r="A198" s="135"/>
      <c r="B198" s="135"/>
    </row>
    <row r="199" spans="1:2" x14ac:dyDescent="0.25">
      <c r="A199" s="135"/>
      <c r="B199" s="135"/>
    </row>
    <row r="200" spans="1:2" x14ac:dyDescent="0.25">
      <c r="A200" s="135"/>
      <c r="B200" s="135"/>
    </row>
    <row r="201" spans="1:2" x14ac:dyDescent="0.25">
      <c r="A201" s="135"/>
      <c r="B201" s="135"/>
    </row>
    <row r="202" spans="1:2" x14ac:dyDescent="0.25">
      <c r="A202" s="135"/>
      <c r="B202" s="135"/>
    </row>
    <row r="203" spans="1:2" x14ac:dyDescent="0.25">
      <c r="A203" s="135"/>
      <c r="B203" s="135"/>
    </row>
    <row r="204" spans="1:2" x14ac:dyDescent="0.25">
      <c r="A204" s="135"/>
      <c r="B204" s="135"/>
    </row>
    <row r="205" spans="1:2" x14ac:dyDescent="0.25">
      <c r="A205" s="135"/>
      <c r="B205" s="135"/>
    </row>
    <row r="206" spans="1:2" x14ac:dyDescent="0.25">
      <c r="A206" s="135"/>
      <c r="B206" s="135"/>
    </row>
    <row r="207" spans="1:2" x14ac:dyDescent="0.25">
      <c r="A207" s="135"/>
      <c r="B207" s="135"/>
    </row>
    <row r="208" spans="1:2" x14ac:dyDescent="0.25">
      <c r="A208" s="135"/>
      <c r="B208" s="135"/>
    </row>
    <row r="209" spans="1:2" x14ac:dyDescent="0.25">
      <c r="A209" s="135"/>
      <c r="B209" s="135"/>
    </row>
    <row r="210" spans="1:2" x14ac:dyDescent="0.25">
      <c r="A210" s="135"/>
      <c r="B210" s="135"/>
    </row>
    <row r="211" spans="1:2" x14ac:dyDescent="0.25">
      <c r="A211" s="135"/>
      <c r="B211" s="135"/>
    </row>
    <row r="212" spans="1:2" x14ac:dyDescent="0.25">
      <c r="A212" s="135"/>
      <c r="B212" s="135"/>
    </row>
    <row r="213" spans="1:2" x14ac:dyDescent="0.25">
      <c r="A213" s="135"/>
      <c r="B213" s="135"/>
    </row>
    <row r="214" spans="1:2" x14ac:dyDescent="0.25">
      <c r="A214" s="135"/>
      <c r="B214" s="135"/>
    </row>
    <row r="215" spans="1:2" x14ac:dyDescent="0.25">
      <c r="A215" s="135"/>
      <c r="B215" s="135"/>
    </row>
    <row r="216" spans="1:2" x14ac:dyDescent="0.25">
      <c r="A216" s="135"/>
      <c r="B216" s="135"/>
    </row>
    <row r="217" spans="1:2" x14ac:dyDescent="0.25">
      <c r="A217" s="135"/>
      <c r="B217" s="135"/>
    </row>
    <row r="218" spans="1:2" x14ac:dyDescent="0.25">
      <c r="A218" s="135"/>
      <c r="B218" s="135"/>
    </row>
    <row r="219" spans="1:2" x14ac:dyDescent="0.25">
      <c r="A219" s="135"/>
      <c r="B219" s="135"/>
    </row>
    <row r="220" spans="1:2" x14ac:dyDescent="0.25">
      <c r="A220" s="135"/>
      <c r="B220" s="135"/>
    </row>
    <row r="221" spans="1:2" x14ac:dyDescent="0.25">
      <c r="A221" s="135"/>
      <c r="B221" s="135"/>
    </row>
    <row r="222" spans="1:2" x14ac:dyDescent="0.25">
      <c r="A222" s="135"/>
      <c r="B222" s="135"/>
    </row>
    <row r="223" spans="1:2" x14ac:dyDescent="0.25">
      <c r="A223" s="135"/>
      <c r="B223" s="135"/>
    </row>
    <row r="224" spans="1:2" x14ac:dyDescent="0.25">
      <c r="A224" s="135"/>
      <c r="B224" s="135"/>
    </row>
    <row r="225" spans="1:2" x14ac:dyDescent="0.25">
      <c r="A225" s="135"/>
      <c r="B225" s="135"/>
    </row>
    <row r="226" spans="1:2" x14ac:dyDescent="0.25">
      <c r="A226" s="135"/>
      <c r="B226" s="135"/>
    </row>
    <row r="227" spans="1:2" x14ac:dyDescent="0.25">
      <c r="A227" s="135"/>
      <c r="B227" s="135"/>
    </row>
    <row r="228" spans="1:2" x14ac:dyDescent="0.25">
      <c r="A228" s="135"/>
      <c r="B228" s="135"/>
    </row>
    <row r="229" spans="1:2" x14ac:dyDescent="0.25">
      <c r="A229" s="135"/>
      <c r="B229" s="135"/>
    </row>
    <row r="230" spans="1:2" x14ac:dyDescent="0.25">
      <c r="A230" s="135"/>
      <c r="B230" s="135"/>
    </row>
    <row r="231" spans="1:2" x14ac:dyDescent="0.25">
      <c r="A231" s="135"/>
      <c r="B231" s="135"/>
    </row>
    <row r="232" spans="1:2" x14ac:dyDescent="0.25">
      <c r="A232" s="135"/>
      <c r="B232" s="135"/>
    </row>
    <row r="233" spans="1:2" x14ac:dyDescent="0.25">
      <c r="A233" s="135"/>
      <c r="B233" s="135"/>
    </row>
    <row r="234" spans="1:2" x14ac:dyDescent="0.25">
      <c r="A234" s="135"/>
      <c r="B234" s="135"/>
    </row>
    <row r="235" spans="1:2" x14ac:dyDescent="0.25">
      <c r="A235" s="135"/>
      <c r="B235" s="135"/>
    </row>
    <row r="236" spans="1:2" x14ac:dyDescent="0.25">
      <c r="A236" s="135"/>
      <c r="B236" s="135"/>
    </row>
    <row r="237" spans="1:2" x14ac:dyDescent="0.25">
      <c r="A237" s="135"/>
      <c r="B237" s="135"/>
    </row>
    <row r="238" spans="1:2" x14ac:dyDescent="0.25">
      <c r="A238" s="135"/>
      <c r="B238" s="135"/>
    </row>
    <row r="239" spans="1:2" x14ac:dyDescent="0.25">
      <c r="A239" s="135"/>
      <c r="B239" s="135"/>
    </row>
    <row r="240" spans="1:2" x14ac:dyDescent="0.25">
      <c r="A240" s="135"/>
      <c r="B240" s="135"/>
    </row>
    <row r="241" spans="1:2" x14ac:dyDescent="0.25">
      <c r="A241" s="135"/>
      <c r="B241" s="135"/>
    </row>
    <row r="242" spans="1:2" x14ac:dyDescent="0.25">
      <c r="A242" s="135"/>
      <c r="B242" s="135"/>
    </row>
    <row r="243" spans="1:2" x14ac:dyDescent="0.25">
      <c r="A243" s="135"/>
      <c r="B243" s="135"/>
    </row>
    <row r="244" spans="1:2" x14ac:dyDescent="0.25">
      <c r="A244" s="135"/>
      <c r="B244" s="135"/>
    </row>
    <row r="245" spans="1:2" x14ac:dyDescent="0.25">
      <c r="A245" s="135"/>
      <c r="B245" s="135"/>
    </row>
    <row r="246" spans="1:2" x14ac:dyDescent="0.25">
      <c r="A246" s="135"/>
      <c r="B246" s="135"/>
    </row>
    <row r="247" spans="1:2" x14ac:dyDescent="0.25">
      <c r="A247" s="135"/>
      <c r="B247" s="135"/>
    </row>
    <row r="248" spans="1:2" x14ac:dyDescent="0.25">
      <c r="A248" s="135"/>
      <c r="B248" s="135"/>
    </row>
    <row r="249" spans="1:2" x14ac:dyDescent="0.25">
      <c r="A249" s="135"/>
      <c r="B249" s="135"/>
    </row>
    <row r="250" spans="1:2" x14ac:dyDescent="0.25">
      <c r="A250" s="135"/>
      <c r="B250" s="135"/>
    </row>
    <row r="251" spans="1:2" x14ac:dyDescent="0.25">
      <c r="A251" s="135"/>
      <c r="B251" s="135"/>
    </row>
    <row r="252" spans="1:2" x14ac:dyDescent="0.25">
      <c r="A252" s="135"/>
      <c r="B252" s="135"/>
    </row>
    <row r="253" spans="1:2" x14ac:dyDescent="0.25">
      <c r="A253" s="135"/>
      <c r="B253" s="135"/>
    </row>
    <row r="254" spans="1:2" x14ac:dyDescent="0.25">
      <c r="A254" s="135"/>
      <c r="B254" s="135"/>
    </row>
    <row r="255" spans="1:2" x14ac:dyDescent="0.25">
      <c r="A255" s="135"/>
      <c r="B255" s="135"/>
    </row>
    <row r="256" spans="1:2" x14ac:dyDescent="0.25">
      <c r="A256" s="135"/>
      <c r="B256" s="135"/>
    </row>
    <row r="257" spans="1:2" x14ac:dyDescent="0.25">
      <c r="A257" s="135"/>
      <c r="B257" s="135"/>
    </row>
    <row r="258" spans="1:2" x14ac:dyDescent="0.25">
      <c r="A258" s="135"/>
      <c r="B258" s="135"/>
    </row>
    <row r="259" spans="1:2" x14ac:dyDescent="0.25">
      <c r="A259" s="135"/>
      <c r="B259" s="135"/>
    </row>
    <row r="260" spans="1:2" x14ac:dyDescent="0.25">
      <c r="A260" s="135"/>
      <c r="B260" s="135"/>
    </row>
    <row r="261" spans="1:2" x14ac:dyDescent="0.25">
      <c r="A261" s="135"/>
      <c r="B261" s="135"/>
    </row>
    <row r="262" spans="1:2" x14ac:dyDescent="0.25">
      <c r="A262" s="135"/>
      <c r="B262" s="135"/>
    </row>
    <row r="263" spans="1:2" x14ac:dyDescent="0.25">
      <c r="A263" s="135"/>
      <c r="B263" s="135"/>
    </row>
    <row r="264" spans="1:2" x14ac:dyDescent="0.25">
      <c r="A264" s="135"/>
      <c r="B264" s="135"/>
    </row>
    <row r="265" spans="1:2" x14ac:dyDescent="0.25">
      <c r="A265" s="135"/>
      <c r="B265" s="135"/>
    </row>
    <row r="266" spans="1:2" x14ac:dyDescent="0.25">
      <c r="A266" s="135"/>
      <c r="B266" s="135"/>
    </row>
    <row r="267" spans="1:2" x14ac:dyDescent="0.25">
      <c r="A267" s="135"/>
      <c r="B267" s="135"/>
    </row>
    <row r="268" spans="1:2" x14ac:dyDescent="0.25">
      <c r="A268" s="135"/>
      <c r="B268" s="135"/>
    </row>
    <row r="269" spans="1:2" x14ac:dyDescent="0.25">
      <c r="A269" s="135"/>
      <c r="B269" s="135"/>
    </row>
    <row r="270" spans="1:2" x14ac:dyDescent="0.25">
      <c r="A270" s="135"/>
      <c r="B270" s="135"/>
    </row>
    <row r="271" spans="1:2" x14ac:dyDescent="0.25">
      <c r="A271" s="135"/>
      <c r="B271" s="135"/>
    </row>
    <row r="272" spans="1:2" x14ac:dyDescent="0.25">
      <c r="A272" s="135"/>
      <c r="B272" s="135"/>
    </row>
    <row r="273" spans="1:2" x14ac:dyDescent="0.25">
      <c r="A273" s="135"/>
      <c r="B273" s="135"/>
    </row>
    <row r="274" spans="1:2" x14ac:dyDescent="0.25">
      <c r="A274" s="135"/>
      <c r="B274" s="135"/>
    </row>
    <row r="275" spans="1:2" x14ac:dyDescent="0.25">
      <c r="A275" s="135"/>
      <c r="B275" s="135"/>
    </row>
    <row r="276" spans="1:2" x14ac:dyDescent="0.25">
      <c r="A276" s="135"/>
      <c r="B276" s="135"/>
    </row>
    <row r="277" spans="1:2" x14ac:dyDescent="0.25">
      <c r="A277" s="135"/>
      <c r="B277" s="135"/>
    </row>
    <row r="278" spans="1:2" x14ac:dyDescent="0.25">
      <c r="A278" s="135"/>
      <c r="B278" s="135"/>
    </row>
    <row r="279" spans="1:2" s="58" customFormat="1" ht="12.75" x14ac:dyDescent="0.2"/>
    <row r="280" spans="1:2" s="58" customFormat="1" ht="12.75" x14ac:dyDescent="0.2"/>
    <row r="281" spans="1:2" s="58" customFormat="1" ht="12.75" x14ac:dyDescent="0.2"/>
    <row r="282" spans="1:2" s="58" customFormat="1" ht="12.75" x14ac:dyDescent="0.2"/>
    <row r="283" spans="1:2" s="58" customFormat="1" ht="12.75" x14ac:dyDescent="0.2"/>
    <row r="284" spans="1:2" s="58" customFormat="1" ht="12.75" x14ac:dyDescent="0.2"/>
    <row r="285" spans="1:2" s="58" customFormat="1" ht="12.75" x14ac:dyDescent="0.2"/>
    <row r="286" spans="1:2" s="58" customFormat="1" ht="12.75" x14ac:dyDescent="0.2"/>
    <row r="287" spans="1:2" s="58" customFormat="1" ht="12.75" x14ac:dyDescent="0.2"/>
    <row r="288" spans="1:2" s="58" customFormat="1" ht="12.75" x14ac:dyDescent="0.2"/>
    <row r="289" s="58" customFormat="1" ht="12.75" x14ac:dyDescent="0.2"/>
    <row r="290" s="58" customFormat="1" ht="12.75" x14ac:dyDescent="0.2"/>
    <row r="291" s="58" customFormat="1" ht="12.75" x14ac:dyDescent="0.2"/>
    <row r="292" s="58" customFormat="1" ht="12.75" x14ac:dyDescent="0.2"/>
    <row r="293" s="58" customFormat="1" ht="12.75" x14ac:dyDescent="0.2"/>
    <row r="294" s="58" customFormat="1" ht="12.75" x14ac:dyDescent="0.2"/>
    <row r="295" s="58" customFormat="1" ht="12.75" x14ac:dyDescent="0.2"/>
    <row r="296" s="58" customFormat="1" ht="12.75" x14ac:dyDescent="0.2"/>
    <row r="297" s="58" customFormat="1" ht="12.75" x14ac:dyDescent="0.2"/>
    <row r="298" s="58" customFormat="1" ht="12.75" x14ac:dyDescent="0.2"/>
    <row r="299" s="58" customFormat="1" ht="12.75" x14ac:dyDescent="0.2"/>
    <row r="300" s="58" customFormat="1" ht="12.75" x14ac:dyDescent="0.2"/>
    <row r="301" s="58" customFormat="1" ht="12.75" x14ac:dyDescent="0.2"/>
    <row r="302" s="58" customFormat="1" ht="12.75" x14ac:dyDescent="0.2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  <row r="307" s="58" customFormat="1" ht="12.75" x14ac:dyDescent="0.2"/>
    <row r="308" s="58" customFormat="1" ht="12.75" x14ac:dyDescent="0.2"/>
    <row r="309" s="58" customFormat="1" ht="12.75" x14ac:dyDescent="0.2"/>
  </sheetData>
  <mergeCells count="1">
    <mergeCell ref="A1:F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A066BC4-2C59-4F9A-85BD-4CE96C548A00}">
          <x14:formula1>
            <xm:f>MESTRE!$E$2:$E$30</xm:f>
          </x14:formula1>
          <xm:sqref>B3</xm:sqref>
        </x14:dataValidation>
        <x14:dataValidation type="list" allowBlank="1" showInputMessage="1" showErrorMessage="1" xr:uid="{84F0BF08-B24F-4124-A405-8D178A77A994}">
          <x14:formula1>
            <xm:f>MESTRE!$C$2:$C$8</xm:f>
          </x14:formula1>
          <xm:sqref>B151:B567</xm:sqref>
        </x14:dataValidation>
        <x14:dataValidation type="list" allowBlank="1" showInputMessage="1" showErrorMessage="1" xr:uid="{C3140D54-DA68-4F74-9CEA-C0D80E1BEE4E}">
          <x14:formula1>
            <xm:f>MESTRE!$A$2:$A$21</xm:f>
          </x14:formula1>
          <xm:sqref>A3:A62 A64:A83 A151:A306 A128:A147 A85:A104 A106:A124</xm:sqref>
        </x14:dataValidation>
        <x14:dataValidation type="list" allowBlank="1" showInputMessage="1" showErrorMessage="1" xr:uid="{E54F6D4B-4B2F-4C75-8C8D-A82AB91B47DC}">
          <x14:formula1>
            <xm:f>MESTRE!$A$2:$A$2096</xm:f>
          </x14:formula1>
          <xm:sqref>A125:A127 A105 A84 A63 A148:A150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BDA9-0DD5-4068-BF41-3171230571A0}">
  <sheetPr>
    <tabColor rgb="FFDB938D"/>
  </sheetPr>
  <dimension ref="A1:G313"/>
  <sheetViews>
    <sheetView showGridLines="0" zoomScale="84" zoomScaleNormal="84" workbookViewId="0">
      <selection activeCell="G5" sqref="G5"/>
    </sheetView>
  </sheetViews>
  <sheetFormatPr baseColWidth="10" defaultRowHeight="15" x14ac:dyDescent="0.25"/>
  <cols>
    <col min="1" max="1" width="36" style="2" customWidth="1"/>
    <col min="2" max="2" width="24.28515625" style="2" hidden="1" customWidth="1"/>
    <col min="3" max="3" width="17.85546875" bestFit="1" customWidth="1"/>
    <col min="4" max="4" width="18.28515625" bestFit="1" customWidth="1"/>
    <col min="5" max="6" width="19.140625" bestFit="1" customWidth="1"/>
    <col min="7" max="7" width="17.85546875" customWidth="1"/>
    <col min="8" max="8" width="4.28515625" customWidth="1"/>
    <col min="14" max="14" width="4.85546875" customWidth="1"/>
  </cols>
  <sheetData>
    <row r="1" spans="1:7" ht="24" customHeight="1" thickBot="1" x14ac:dyDescent="0.3">
      <c r="A1" s="406" t="s">
        <v>73</v>
      </c>
      <c r="B1" s="407"/>
      <c r="C1" s="407"/>
      <c r="D1" s="407"/>
      <c r="E1" s="407"/>
      <c r="F1" s="407"/>
      <c r="G1" s="408"/>
    </row>
    <row r="2" spans="1:7" s="9" customFormat="1" ht="35.25" customHeight="1" thickBot="1" x14ac:dyDescent="0.3">
      <c r="A2" s="157" t="s">
        <v>0</v>
      </c>
      <c r="B2" s="11" t="s">
        <v>24</v>
      </c>
      <c r="C2" s="188" t="s">
        <v>32</v>
      </c>
      <c r="D2" s="189" t="s">
        <v>33</v>
      </c>
      <c r="E2" s="189" t="s">
        <v>34</v>
      </c>
      <c r="F2" s="189" t="s">
        <v>35</v>
      </c>
      <c r="G2" s="190" t="s">
        <v>93</v>
      </c>
    </row>
    <row r="3" spans="1:7" ht="18.75" hidden="1" thickBot="1" x14ac:dyDescent="0.45">
      <c r="A3" s="68" t="s">
        <v>1</v>
      </c>
      <c r="B3" s="76" t="s">
        <v>74</v>
      </c>
      <c r="C3" s="217">
        <v>1844</v>
      </c>
      <c r="D3" s="218">
        <v>1817</v>
      </c>
      <c r="E3" s="218">
        <v>1833</v>
      </c>
      <c r="F3" s="218">
        <v>1764</v>
      </c>
      <c r="G3" s="3"/>
    </row>
    <row r="4" spans="1:7" ht="18.75" hidden="1" thickBot="1" x14ac:dyDescent="0.45">
      <c r="A4" s="69" t="s">
        <v>2</v>
      </c>
      <c r="B4" s="77" t="s">
        <v>74</v>
      </c>
      <c r="C4" s="219">
        <v>992</v>
      </c>
      <c r="D4" s="220">
        <v>978</v>
      </c>
      <c r="E4" s="220">
        <v>1000</v>
      </c>
      <c r="F4" s="220">
        <v>955</v>
      </c>
      <c r="G4" s="4"/>
    </row>
    <row r="5" spans="1:7" ht="18.75" hidden="1" thickBot="1" x14ac:dyDescent="0.45">
      <c r="A5" s="69" t="s">
        <v>3</v>
      </c>
      <c r="B5" s="77" t="s">
        <v>74</v>
      </c>
      <c r="C5" s="219">
        <v>692</v>
      </c>
      <c r="D5" s="220">
        <v>685</v>
      </c>
      <c r="E5" s="220">
        <v>709</v>
      </c>
      <c r="F5" s="220">
        <v>697</v>
      </c>
      <c r="G5" s="4"/>
    </row>
    <row r="6" spans="1:7" ht="18.75" hidden="1" thickBot="1" x14ac:dyDescent="0.45">
      <c r="A6" s="69" t="s">
        <v>4</v>
      </c>
      <c r="B6" s="77" t="s">
        <v>74</v>
      </c>
      <c r="C6" s="219">
        <v>1989</v>
      </c>
      <c r="D6" s="220">
        <v>1938</v>
      </c>
      <c r="E6" s="220">
        <v>1951</v>
      </c>
      <c r="F6" s="220">
        <v>1901</v>
      </c>
      <c r="G6" s="4"/>
    </row>
    <row r="7" spans="1:7" ht="18.75" hidden="1" thickBot="1" x14ac:dyDescent="0.45">
      <c r="A7" s="69" t="s">
        <v>5</v>
      </c>
      <c r="B7" s="77" t="s">
        <v>74</v>
      </c>
      <c r="C7" s="219">
        <v>1054</v>
      </c>
      <c r="D7" s="220">
        <v>1011</v>
      </c>
      <c r="E7" s="220">
        <v>1050</v>
      </c>
      <c r="F7" s="220">
        <v>992</v>
      </c>
      <c r="G7" s="4"/>
    </row>
    <row r="8" spans="1:7" ht="18.75" hidden="1" thickBot="1" x14ac:dyDescent="0.45">
      <c r="A8" s="69" t="s">
        <v>6</v>
      </c>
      <c r="B8" s="77" t="s">
        <v>74</v>
      </c>
      <c r="C8" s="219">
        <v>822</v>
      </c>
      <c r="D8" s="220">
        <v>820</v>
      </c>
      <c r="E8" s="220">
        <v>867</v>
      </c>
      <c r="F8" s="220">
        <v>859</v>
      </c>
      <c r="G8" s="4"/>
    </row>
    <row r="9" spans="1:7" ht="18.75" hidden="1" thickBot="1" x14ac:dyDescent="0.45">
      <c r="A9" s="69" t="s">
        <v>7</v>
      </c>
      <c r="B9" s="77" t="s">
        <v>74</v>
      </c>
      <c r="C9" s="219">
        <v>479</v>
      </c>
      <c r="D9" s="220">
        <v>478</v>
      </c>
      <c r="E9" s="220">
        <v>480</v>
      </c>
      <c r="F9" s="220">
        <v>477</v>
      </c>
      <c r="G9" s="4"/>
    </row>
    <row r="10" spans="1:7" ht="18.75" hidden="1" thickBot="1" x14ac:dyDescent="0.45">
      <c r="A10" s="69" t="s">
        <v>8</v>
      </c>
      <c r="B10" s="77" t="s">
        <v>74</v>
      </c>
      <c r="C10" s="219">
        <v>2011</v>
      </c>
      <c r="D10" s="220">
        <v>2000</v>
      </c>
      <c r="E10" s="220">
        <v>2055</v>
      </c>
      <c r="F10" s="220">
        <v>1913</v>
      </c>
      <c r="G10" s="4"/>
    </row>
    <row r="11" spans="1:7" ht="18.75" hidden="1" thickBot="1" x14ac:dyDescent="0.45">
      <c r="A11" s="69" t="s">
        <v>9</v>
      </c>
      <c r="B11" s="77" t="s">
        <v>74</v>
      </c>
      <c r="C11" s="219">
        <v>0</v>
      </c>
      <c r="D11" s="220">
        <v>0</v>
      </c>
      <c r="E11" s="220">
        <v>0</v>
      </c>
      <c r="F11" s="220">
        <v>0</v>
      </c>
      <c r="G11" s="4"/>
    </row>
    <row r="12" spans="1:7" ht="18.75" hidden="1" thickBot="1" x14ac:dyDescent="0.45">
      <c r="A12" s="69" t="s">
        <v>10</v>
      </c>
      <c r="B12" s="77" t="s">
        <v>74</v>
      </c>
      <c r="C12" s="219">
        <v>2041</v>
      </c>
      <c r="D12" s="220">
        <v>2052</v>
      </c>
      <c r="E12" s="220">
        <v>2078</v>
      </c>
      <c r="F12" s="220">
        <v>1926</v>
      </c>
      <c r="G12" s="4"/>
    </row>
    <row r="13" spans="1:7" ht="18.75" hidden="1" thickBot="1" x14ac:dyDescent="0.45">
      <c r="A13" s="69" t="s">
        <v>11</v>
      </c>
      <c r="B13" s="77" t="s">
        <v>74</v>
      </c>
      <c r="C13" s="219">
        <v>762</v>
      </c>
      <c r="D13" s="220">
        <v>759</v>
      </c>
      <c r="E13" s="220">
        <v>773</v>
      </c>
      <c r="F13" s="220">
        <v>731</v>
      </c>
      <c r="G13" s="4"/>
    </row>
    <row r="14" spans="1:7" ht="18.75" hidden="1" thickBot="1" x14ac:dyDescent="0.45">
      <c r="A14" s="69" t="s">
        <v>12</v>
      </c>
      <c r="B14" s="77" t="s">
        <v>74</v>
      </c>
      <c r="C14" s="219">
        <v>2208</v>
      </c>
      <c r="D14" s="220">
        <v>2169</v>
      </c>
      <c r="E14" s="220">
        <v>2179</v>
      </c>
      <c r="F14" s="220">
        <v>2097</v>
      </c>
      <c r="G14" s="4"/>
    </row>
    <row r="15" spans="1:7" ht="18.75" hidden="1" thickBot="1" x14ac:dyDescent="0.45">
      <c r="A15" s="69" t="s">
        <v>13</v>
      </c>
      <c r="B15" s="77" t="s">
        <v>74</v>
      </c>
      <c r="C15" s="219">
        <v>1510</v>
      </c>
      <c r="D15" s="220">
        <v>1522</v>
      </c>
      <c r="E15" s="220">
        <v>1532</v>
      </c>
      <c r="F15" s="220">
        <v>1492</v>
      </c>
      <c r="G15" s="4"/>
    </row>
    <row r="16" spans="1:7" ht="18.75" hidden="1" thickBot="1" x14ac:dyDescent="0.45">
      <c r="A16" s="69" t="s">
        <v>14</v>
      </c>
      <c r="B16" s="77" t="s">
        <v>74</v>
      </c>
      <c r="C16" s="219">
        <v>774</v>
      </c>
      <c r="D16" s="220">
        <v>745</v>
      </c>
      <c r="E16" s="220">
        <v>769</v>
      </c>
      <c r="F16" s="220">
        <v>754</v>
      </c>
      <c r="G16" s="4"/>
    </row>
    <row r="17" spans="1:7" ht="18.75" hidden="1" thickBot="1" x14ac:dyDescent="0.45">
      <c r="A17" s="69" t="s">
        <v>15</v>
      </c>
      <c r="B17" s="77" t="s">
        <v>74</v>
      </c>
      <c r="C17" s="219">
        <v>1274</v>
      </c>
      <c r="D17" s="220">
        <v>1259</v>
      </c>
      <c r="E17" s="220">
        <v>1284</v>
      </c>
      <c r="F17" s="220">
        <v>1239</v>
      </c>
      <c r="G17" s="4"/>
    </row>
    <row r="18" spans="1:7" ht="18.75" hidden="1" thickBot="1" x14ac:dyDescent="0.45">
      <c r="A18" s="69" t="s">
        <v>16</v>
      </c>
      <c r="B18" s="77" t="s">
        <v>74</v>
      </c>
      <c r="C18" s="219">
        <v>1488</v>
      </c>
      <c r="D18" s="220">
        <v>1499</v>
      </c>
      <c r="E18" s="220">
        <v>1485</v>
      </c>
      <c r="F18" s="220">
        <v>1409</v>
      </c>
      <c r="G18" s="4"/>
    </row>
    <row r="19" spans="1:7" ht="18.75" hidden="1" thickBot="1" x14ac:dyDescent="0.45">
      <c r="A19" s="69" t="s">
        <v>17</v>
      </c>
      <c r="B19" s="77" t="s">
        <v>74</v>
      </c>
      <c r="C19" s="219">
        <v>663</v>
      </c>
      <c r="D19" s="220">
        <v>653</v>
      </c>
      <c r="E19" s="220">
        <v>666</v>
      </c>
      <c r="F19" s="220">
        <v>665</v>
      </c>
      <c r="G19" s="4"/>
    </row>
    <row r="20" spans="1:7" ht="18.75" hidden="1" thickBot="1" x14ac:dyDescent="0.45">
      <c r="A20" s="69" t="s">
        <v>18</v>
      </c>
      <c r="B20" s="77" t="s">
        <v>74</v>
      </c>
      <c r="C20" s="219">
        <v>1209</v>
      </c>
      <c r="D20" s="220">
        <v>1218</v>
      </c>
      <c r="E20" s="220">
        <v>1248</v>
      </c>
      <c r="F20" s="220">
        <v>1213</v>
      </c>
      <c r="G20" s="4"/>
    </row>
    <row r="21" spans="1:7" ht="18.75" hidden="1" thickBot="1" x14ac:dyDescent="0.45">
      <c r="A21" s="69" t="s">
        <v>19</v>
      </c>
      <c r="B21" s="77" t="s">
        <v>74</v>
      </c>
      <c r="C21" s="219">
        <v>5129</v>
      </c>
      <c r="D21" s="220">
        <v>5143</v>
      </c>
      <c r="E21" s="220">
        <v>5252</v>
      </c>
      <c r="F21" s="220">
        <v>5075</v>
      </c>
      <c r="G21" s="4"/>
    </row>
    <row r="22" spans="1:7" ht="18.75" hidden="1" thickBot="1" x14ac:dyDescent="0.45">
      <c r="A22" s="70" t="s">
        <v>20</v>
      </c>
      <c r="B22" s="78" t="s">
        <v>74</v>
      </c>
      <c r="C22" s="221">
        <v>1506</v>
      </c>
      <c r="D22" s="222">
        <v>1488</v>
      </c>
      <c r="E22" s="222">
        <v>1516</v>
      </c>
      <c r="F22" s="222">
        <v>1504</v>
      </c>
      <c r="G22" s="5"/>
    </row>
    <row r="23" spans="1:7" ht="18.75" hidden="1" thickBot="1" x14ac:dyDescent="0.45">
      <c r="A23" s="249" t="s">
        <v>1</v>
      </c>
      <c r="B23" s="25" t="s">
        <v>75</v>
      </c>
      <c r="C23" s="253">
        <v>741</v>
      </c>
      <c r="D23" s="254">
        <v>733</v>
      </c>
      <c r="E23" s="254">
        <v>722</v>
      </c>
      <c r="F23" s="254">
        <v>677</v>
      </c>
      <c r="G23" s="255"/>
    </row>
    <row r="24" spans="1:7" ht="18.75" hidden="1" thickBot="1" x14ac:dyDescent="0.45">
      <c r="A24" s="250" t="s">
        <v>2</v>
      </c>
      <c r="B24" s="14" t="s">
        <v>75</v>
      </c>
      <c r="C24" s="256">
        <v>412</v>
      </c>
      <c r="D24" s="257">
        <v>418</v>
      </c>
      <c r="E24" s="257">
        <v>414</v>
      </c>
      <c r="F24" s="257">
        <v>388</v>
      </c>
      <c r="G24" s="258"/>
    </row>
    <row r="25" spans="1:7" ht="18.75" hidden="1" thickBot="1" x14ac:dyDescent="0.45">
      <c r="A25" s="250" t="s">
        <v>3</v>
      </c>
      <c r="B25" s="14" t="s">
        <v>75</v>
      </c>
      <c r="C25" s="256">
        <v>261</v>
      </c>
      <c r="D25" s="257">
        <v>248</v>
      </c>
      <c r="E25" s="257">
        <v>277</v>
      </c>
      <c r="F25" s="257">
        <v>270</v>
      </c>
      <c r="G25" s="258"/>
    </row>
    <row r="26" spans="1:7" ht="18.75" hidden="1" thickBot="1" x14ac:dyDescent="0.45">
      <c r="A26" s="250" t="s">
        <v>4</v>
      </c>
      <c r="B26" s="14" t="s">
        <v>75</v>
      </c>
      <c r="C26" s="256">
        <v>846</v>
      </c>
      <c r="D26" s="257">
        <v>803</v>
      </c>
      <c r="E26" s="257">
        <v>774</v>
      </c>
      <c r="F26" s="257">
        <v>744</v>
      </c>
      <c r="G26" s="258"/>
    </row>
    <row r="27" spans="1:7" ht="18.75" hidden="1" thickBot="1" x14ac:dyDescent="0.45">
      <c r="A27" s="250" t="s">
        <v>5</v>
      </c>
      <c r="B27" s="14" t="s">
        <v>75</v>
      </c>
      <c r="C27" s="256">
        <v>451</v>
      </c>
      <c r="D27" s="257">
        <v>432</v>
      </c>
      <c r="E27" s="257">
        <v>434</v>
      </c>
      <c r="F27" s="257">
        <v>414</v>
      </c>
      <c r="G27" s="258"/>
    </row>
    <row r="28" spans="1:7" ht="18.75" hidden="1" thickBot="1" x14ac:dyDescent="0.45">
      <c r="A28" s="250" t="s">
        <v>6</v>
      </c>
      <c r="B28" s="14" t="s">
        <v>75</v>
      </c>
      <c r="C28" s="256">
        <v>325</v>
      </c>
      <c r="D28" s="257">
        <v>327</v>
      </c>
      <c r="E28" s="257">
        <v>399</v>
      </c>
      <c r="F28" s="257">
        <v>338</v>
      </c>
      <c r="G28" s="258"/>
    </row>
    <row r="29" spans="1:7" ht="18.75" hidden="1" thickBot="1" x14ac:dyDescent="0.45">
      <c r="A29" s="250" t="s">
        <v>7</v>
      </c>
      <c r="B29" s="14" t="s">
        <v>75</v>
      </c>
      <c r="C29" s="256">
        <v>207</v>
      </c>
      <c r="D29" s="257">
        <v>207</v>
      </c>
      <c r="E29" s="257">
        <v>351</v>
      </c>
      <c r="F29" s="257">
        <v>211</v>
      </c>
      <c r="G29" s="236"/>
    </row>
    <row r="30" spans="1:7" ht="18.75" hidden="1" thickBot="1" x14ac:dyDescent="0.45">
      <c r="A30" s="250" t="s">
        <v>8</v>
      </c>
      <c r="B30" s="14" t="s">
        <v>75</v>
      </c>
      <c r="C30" s="256">
        <v>794</v>
      </c>
      <c r="D30" s="257">
        <v>798</v>
      </c>
      <c r="E30" s="257">
        <v>795</v>
      </c>
      <c r="F30" s="257">
        <v>733</v>
      </c>
      <c r="G30" s="236"/>
    </row>
    <row r="31" spans="1:7" ht="18.75" hidden="1" thickBot="1" x14ac:dyDescent="0.45">
      <c r="A31" s="250" t="s">
        <v>9</v>
      </c>
      <c r="B31" s="14" t="s">
        <v>75</v>
      </c>
      <c r="C31" s="256">
        <v>3</v>
      </c>
      <c r="D31" s="257">
        <v>3</v>
      </c>
      <c r="E31" s="257">
        <v>0</v>
      </c>
      <c r="F31" s="257">
        <v>0</v>
      </c>
      <c r="G31" s="236"/>
    </row>
    <row r="32" spans="1:7" ht="18.75" hidden="1" thickBot="1" x14ac:dyDescent="0.45">
      <c r="A32" s="250" t="s">
        <v>10</v>
      </c>
      <c r="B32" s="14" t="s">
        <v>75</v>
      </c>
      <c r="C32" s="256">
        <v>959</v>
      </c>
      <c r="D32" s="257">
        <v>958</v>
      </c>
      <c r="E32" s="257">
        <v>945</v>
      </c>
      <c r="F32" s="257">
        <v>873</v>
      </c>
      <c r="G32" s="236"/>
    </row>
    <row r="33" spans="1:7" ht="18.75" hidden="1" thickBot="1" x14ac:dyDescent="0.45">
      <c r="A33" s="250" t="s">
        <v>11</v>
      </c>
      <c r="B33" s="14" t="s">
        <v>75</v>
      </c>
      <c r="C33" s="256">
        <v>304</v>
      </c>
      <c r="D33" s="257">
        <v>293</v>
      </c>
      <c r="E33" s="257">
        <v>306</v>
      </c>
      <c r="F33" s="257">
        <v>278</v>
      </c>
      <c r="G33" s="236"/>
    </row>
    <row r="34" spans="1:7" ht="18.75" hidden="1" thickBot="1" x14ac:dyDescent="0.45">
      <c r="A34" s="250" t="s">
        <v>12</v>
      </c>
      <c r="B34" s="14" t="s">
        <v>75</v>
      </c>
      <c r="C34" s="256">
        <v>913</v>
      </c>
      <c r="D34" s="257">
        <v>897</v>
      </c>
      <c r="E34" s="257">
        <v>880</v>
      </c>
      <c r="F34" s="257">
        <v>825</v>
      </c>
      <c r="G34" s="236"/>
    </row>
    <row r="35" spans="1:7" ht="18.75" hidden="1" thickBot="1" x14ac:dyDescent="0.45">
      <c r="A35" s="250" t="s">
        <v>13</v>
      </c>
      <c r="B35" s="14" t="s">
        <v>75</v>
      </c>
      <c r="C35" s="256">
        <v>614</v>
      </c>
      <c r="D35" s="257">
        <v>612</v>
      </c>
      <c r="E35" s="257">
        <v>607</v>
      </c>
      <c r="F35" s="257">
        <v>578</v>
      </c>
      <c r="G35" s="236"/>
    </row>
    <row r="36" spans="1:7" ht="18.75" hidden="1" thickBot="1" x14ac:dyDescent="0.45">
      <c r="A36" s="250" t="s">
        <v>14</v>
      </c>
      <c r="B36" s="14" t="s">
        <v>75</v>
      </c>
      <c r="C36" s="256">
        <v>332</v>
      </c>
      <c r="D36" s="257">
        <v>321</v>
      </c>
      <c r="E36" s="257">
        <v>326</v>
      </c>
      <c r="F36" s="257">
        <v>310</v>
      </c>
      <c r="G36" s="236"/>
    </row>
    <row r="37" spans="1:7" ht="18.75" hidden="1" thickBot="1" x14ac:dyDescent="0.45">
      <c r="A37" s="250" t="s">
        <v>15</v>
      </c>
      <c r="B37" s="14" t="s">
        <v>75</v>
      </c>
      <c r="C37" s="256">
        <v>497</v>
      </c>
      <c r="D37" s="257">
        <v>501</v>
      </c>
      <c r="E37" s="257">
        <v>481</v>
      </c>
      <c r="F37" s="257">
        <v>453</v>
      </c>
      <c r="G37" s="236"/>
    </row>
    <row r="38" spans="1:7" ht="18.75" hidden="1" thickBot="1" x14ac:dyDescent="0.45">
      <c r="A38" s="250" t="s">
        <v>16</v>
      </c>
      <c r="B38" s="14" t="s">
        <v>75</v>
      </c>
      <c r="C38" s="256">
        <v>665</v>
      </c>
      <c r="D38" s="257">
        <v>651</v>
      </c>
      <c r="E38" s="257">
        <v>615</v>
      </c>
      <c r="F38" s="257">
        <v>563</v>
      </c>
      <c r="G38" s="236"/>
    </row>
    <row r="39" spans="1:7" ht="18.75" hidden="1" thickBot="1" x14ac:dyDescent="0.45">
      <c r="A39" s="250" t="s">
        <v>17</v>
      </c>
      <c r="B39" s="14" t="s">
        <v>75</v>
      </c>
      <c r="C39" s="256">
        <v>280</v>
      </c>
      <c r="D39" s="257">
        <v>263</v>
      </c>
      <c r="E39" s="257">
        <v>262</v>
      </c>
      <c r="F39" s="257">
        <v>260</v>
      </c>
      <c r="G39" s="236"/>
    </row>
    <row r="40" spans="1:7" ht="18.75" hidden="1" thickBot="1" x14ac:dyDescent="0.45">
      <c r="A40" s="250" t="s">
        <v>18</v>
      </c>
      <c r="B40" s="14" t="s">
        <v>75</v>
      </c>
      <c r="C40" s="256">
        <v>446</v>
      </c>
      <c r="D40" s="257">
        <v>453</v>
      </c>
      <c r="E40" s="257">
        <v>457</v>
      </c>
      <c r="F40" s="257">
        <v>455</v>
      </c>
      <c r="G40" s="236"/>
    </row>
    <row r="41" spans="1:7" ht="18.75" hidden="1" thickBot="1" x14ac:dyDescent="0.45">
      <c r="A41" s="250" t="s">
        <v>19</v>
      </c>
      <c r="B41" s="14" t="s">
        <v>75</v>
      </c>
      <c r="C41" s="259">
        <v>1914</v>
      </c>
      <c r="D41" s="155">
        <v>1913</v>
      </c>
      <c r="E41" s="155">
        <v>1919</v>
      </c>
      <c r="F41" s="155">
        <v>1829</v>
      </c>
      <c r="G41" s="236"/>
    </row>
    <row r="42" spans="1:7" ht="18.75" hidden="1" thickBot="1" x14ac:dyDescent="0.45">
      <c r="A42" s="251" t="s">
        <v>20</v>
      </c>
      <c r="B42" s="14" t="s">
        <v>75</v>
      </c>
      <c r="C42" s="256">
        <v>650</v>
      </c>
      <c r="D42" s="257">
        <v>657</v>
      </c>
      <c r="E42" s="257">
        <v>655</v>
      </c>
      <c r="F42" s="257">
        <v>651</v>
      </c>
      <c r="G42" s="236"/>
    </row>
    <row r="43" spans="1:7" ht="36.75" hidden="1" thickBot="1" x14ac:dyDescent="0.45">
      <c r="A43" s="260" t="s">
        <v>85</v>
      </c>
      <c r="B43" s="100" t="s">
        <v>75</v>
      </c>
      <c r="C43" s="261">
        <f>SUM(C23:C42)</f>
        <v>11614</v>
      </c>
      <c r="D43" s="262">
        <f t="shared" ref="D43:F43" si="0">SUM(D23:D42)</f>
        <v>11488</v>
      </c>
      <c r="E43" s="262">
        <f t="shared" si="0"/>
        <v>11619</v>
      </c>
      <c r="F43" s="262">
        <f t="shared" si="0"/>
        <v>10850</v>
      </c>
      <c r="G43" s="263"/>
    </row>
    <row r="44" spans="1:7" ht="18.75" hidden="1" thickBot="1" x14ac:dyDescent="0.45">
      <c r="A44" s="156" t="s">
        <v>40</v>
      </c>
      <c r="B44" s="100" t="s">
        <v>75</v>
      </c>
      <c r="C44" s="238">
        <f>AVERAGE(C23:C42)</f>
        <v>580.70000000000005</v>
      </c>
      <c r="D44" s="239">
        <f t="shared" ref="D44:F44" si="1">AVERAGE(D23:D42)</f>
        <v>574.4</v>
      </c>
      <c r="E44" s="239">
        <f t="shared" si="1"/>
        <v>580.95000000000005</v>
      </c>
      <c r="F44" s="239">
        <f t="shared" si="1"/>
        <v>542.5</v>
      </c>
      <c r="G44" s="240"/>
    </row>
    <row r="45" spans="1:7" ht="18.75" hidden="1" thickBot="1" x14ac:dyDescent="0.45">
      <c r="A45" s="252" t="s">
        <v>41</v>
      </c>
      <c r="B45" s="146" t="s">
        <v>75</v>
      </c>
      <c r="C45" s="41">
        <f>MEDIAN(C23:C42)</f>
        <v>474</v>
      </c>
      <c r="D45" s="37">
        <f t="shared" ref="D45:F45" si="2">MEDIAN(D23:D42)</f>
        <v>477</v>
      </c>
      <c r="E45" s="37">
        <f t="shared" si="2"/>
        <v>469</v>
      </c>
      <c r="F45" s="37">
        <f t="shared" si="2"/>
        <v>454</v>
      </c>
      <c r="G45" s="241"/>
    </row>
    <row r="46" spans="1:7" ht="18.75" hidden="1" thickBot="1" x14ac:dyDescent="0.45">
      <c r="A46" s="249" t="s">
        <v>1</v>
      </c>
      <c r="B46" s="246" t="s">
        <v>76</v>
      </c>
      <c r="C46" s="62">
        <f>(C23/'DADES GENERALS'!C3)*1000</f>
        <v>24.940257816970146</v>
      </c>
      <c r="D46" s="63">
        <f>(D23/'DADES GENERALS'!D3)*1000</f>
        <v>24.722587608351041</v>
      </c>
      <c r="E46" s="63">
        <f>(E23/'DADES GENERALS'!E3)*1000</f>
        <v>24.443917798016049</v>
      </c>
      <c r="F46" s="63">
        <f>(F23/'DADES GENERALS'!F3)*1000</f>
        <v>22.699077954735959</v>
      </c>
      <c r="G46" s="242"/>
    </row>
    <row r="47" spans="1:7" ht="18.75" hidden="1" thickBot="1" x14ac:dyDescent="0.45">
      <c r="A47" s="250" t="s">
        <v>2</v>
      </c>
      <c r="B47" s="247" t="s">
        <v>76</v>
      </c>
      <c r="C47" s="55">
        <f>(C24/'DADES GENERALS'!C4)*1000</f>
        <v>24.853712975809856</v>
      </c>
      <c r="D47" s="56">
        <f>(D24/'DADES GENERALS'!D4)*1000</f>
        <v>25.111137810885495</v>
      </c>
      <c r="E47" s="56">
        <f>(E24/'DADES GENERALS'!E4)*1000</f>
        <v>24.577025823686554</v>
      </c>
      <c r="F47" s="56">
        <f>(F24/'DADES GENERALS'!F4)*1000</f>
        <v>22.791353383458649</v>
      </c>
      <c r="G47" s="236"/>
    </row>
    <row r="48" spans="1:7" ht="18.75" hidden="1" thickBot="1" x14ac:dyDescent="0.45">
      <c r="A48" s="250" t="s">
        <v>3</v>
      </c>
      <c r="B48" s="247" t="s">
        <v>76</v>
      </c>
      <c r="C48" s="55">
        <f>(C25/'DADES GENERALS'!C5)*1000</f>
        <v>25.598273832875638</v>
      </c>
      <c r="D48" s="56">
        <f>(D25/'DADES GENERALS'!D5)*1000</f>
        <v>24.157412819014219</v>
      </c>
      <c r="E48" s="56">
        <f>(E25/'DADES GENERALS'!E5)*1000</f>
        <v>26.644863409003463</v>
      </c>
      <c r="F48" s="56">
        <f>(F25/'DADES GENERALS'!F5)*1000</f>
        <v>25.531914893617021</v>
      </c>
      <c r="G48" s="236"/>
    </row>
    <row r="49" spans="1:7" ht="18.75" hidden="1" thickBot="1" x14ac:dyDescent="0.45">
      <c r="A49" s="250" t="s">
        <v>4</v>
      </c>
      <c r="B49" s="247" t="s">
        <v>76</v>
      </c>
      <c r="C49" s="55">
        <f>(C26/'DADES GENERALS'!C6)*1000</f>
        <v>26.270028567879766</v>
      </c>
      <c r="D49" s="56">
        <f>(D26/'DADES GENERALS'!D6)*1000</f>
        <v>24.850679293163743</v>
      </c>
      <c r="E49" s="56">
        <f>(E26/'DADES GENERALS'!E6)*1000</f>
        <v>23.701616854483095</v>
      </c>
      <c r="F49" s="56">
        <f>(F26/'DADES GENERALS'!F6)*1000</f>
        <v>22.291466922339406</v>
      </c>
      <c r="G49" s="236"/>
    </row>
    <row r="50" spans="1:7" ht="18.75" hidden="1" thickBot="1" x14ac:dyDescent="0.45">
      <c r="A50" s="250" t="s">
        <v>5</v>
      </c>
      <c r="B50" s="247" t="s">
        <v>76</v>
      </c>
      <c r="C50" s="55">
        <f>(C27/'DADES GENERALS'!C7)*1000</f>
        <v>20.560747663551403</v>
      </c>
      <c r="D50" s="56">
        <f>(D27/'DADES GENERALS'!D7)*1000</f>
        <v>20.172776091524632</v>
      </c>
      <c r="E50" s="56">
        <f>(E27/'DADES GENERALS'!E7)*1000</f>
        <v>20.204841713221601</v>
      </c>
      <c r="F50" s="56">
        <f>(F27/'DADES GENERALS'!F7)*1000</f>
        <v>18.922254216371865</v>
      </c>
      <c r="G50" s="236"/>
    </row>
    <row r="51" spans="1:7" ht="18.75" hidden="1" thickBot="1" x14ac:dyDescent="0.45">
      <c r="A51" s="250" t="s">
        <v>6</v>
      </c>
      <c r="B51" s="247" t="s">
        <v>76</v>
      </c>
      <c r="C51" s="55">
        <f>(C28/'DADES GENERALS'!C8)*1000</f>
        <v>21.666666666666668</v>
      </c>
      <c r="D51" s="56">
        <f>(D28/'DADES GENERALS'!D8)*1000</f>
        <v>21.192482177576149</v>
      </c>
      <c r="E51" s="56">
        <f>(E28/'DADES GENERALS'!E8)*1000</f>
        <v>25.753566126637839</v>
      </c>
      <c r="F51" s="56">
        <f>(F28/'DADES GENERALS'!F8)*1000</f>
        <v>18.904860450808208</v>
      </c>
      <c r="G51" s="236"/>
    </row>
    <row r="52" spans="1:7" ht="18.75" hidden="1" thickBot="1" x14ac:dyDescent="0.45">
      <c r="A52" s="250" t="s">
        <v>7</v>
      </c>
      <c r="B52" s="247" t="s">
        <v>76</v>
      </c>
      <c r="C52" s="55">
        <f>(C29/'DADES GENERALS'!C9)*1000</f>
        <v>102.72952853598015</v>
      </c>
      <c r="D52" s="56">
        <f>(D29/'DADES GENERALS'!D9)*1000</f>
        <v>102.27272727272728</v>
      </c>
      <c r="E52" s="56">
        <f>(E29/'DADES GENERALS'!E9)*1000</f>
        <v>173.76237623762376</v>
      </c>
      <c r="F52" s="56">
        <f>(F29/'DADES GENERALS'!F9)*1000</f>
        <v>101.7357762777242</v>
      </c>
      <c r="G52" s="236"/>
    </row>
    <row r="53" spans="1:7" ht="18.75" hidden="1" thickBot="1" x14ac:dyDescent="0.45">
      <c r="A53" s="250" t="s">
        <v>8</v>
      </c>
      <c r="B53" s="247" t="s">
        <v>76</v>
      </c>
      <c r="C53" s="55">
        <f>(C30/'DADES GENERALS'!C10)*1000</f>
        <v>27.754474272930647</v>
      </c>
      <c r="D53" s="56">
        <f>(D30/'DADES GENERALS'!D10)*1000</f>
        <v>27.991160686099125</v>
      </c>
      <c r="E53" s="56">
        <f>(E30/'DADES GENERALS'!E10)*1000</f>
        <v>27.720631821193205</v>
      </c>
      <c r="F53" s="56">
        <f>(F30/'DADES GENERALS'!F10)*1000</f>
        <v>25.003411106562972</v>
      </c>
      <c r="G53" s="236"/>
    </row>
    <row r="54" spans="1:7" ht="18.75" hidden="1" thickBot="1" x14ac:dyDescent="0.45">
      <c r="A54" s="250" t="s">
        <v>9</v>
      </c>
      <c r="B54" s="247" t="s">
        <v>76</v>
      </c>
      <c r="C54" s="55">
        <f>(C31/'DADES GENERALS'!C11)*1000</f>
        <v>25.423728813559325</v>
      </c>
      <c r="D54" s="56">
        <f>(D31/'DADES GENERALS'!D11)*1000</f>
        <v>24.193548387096772</v>
      </c>
      <c r="E54" s="56">
        <f>(E31/'DADES GENERALS'!E11)*1000</f>
        <v>0</v>
      </c>
      <c r="F54" s="56">
        <f>(F31/'DADES GENERALS'!F11)*1000</f>
        <v>0</v>
      </c>
      <c r="G54" s="236"/>
    </row>
    <row r="55" spans="1:7" ht="18.75" hidden="1" thickBot="1" x14ac:dyDescent="0.45">
      <c r="A55" s="250" t="s">
        <v>10</v>
      </c>
      <c r="B55" s="247" t="s">
        <v>76</v>
      </c>
      <c r="C55" s="55">
        <f>(C32/'DADES GENERALS'!C12)*1000</f>
        <v>30.697823303457106</v>
      </c>
      <c r="D55" s="56">
        <f>(D32/'DADES GENERALS'!D12)*1000</f>
        <v>30.619746220474958</v>
      </c>
      <c r="E55" s="56">
        <f>(E32/'DADES GENERALS'!E12)*1000</f>
        <v>30.317613089509145</v>
      </c>
      <c r="F55" s="56">
        <f>(F32/'DADES GENERALS'!F12)*1000</f>
        <v>27.650207455737497</v>
      </c>
      <c r="G55" s="236"/>
    </row>
    <row r="56" spans="1:7" ht="18.75" hidden="1" thickBot="1" x14ac:dyDescent="0.45">
      <c r="A56" s="250" t="s">
        <v>11</v>
      </c>
      <c r="B56" s="247" t="s">
        <v>76</v>
      </c>
      <c r="C56" s="55">
        <f>(C33/'DADES GENERALS'!C13)*1000</f>
        <v>31.077489265998775</v>
      </c>
      <c r="D56" s="56">
        <f>(D33/'DADES GENERALS'!D13)*1000</f>
        <v>29.761300152361603</v>
      </c>
      <c r="E56" s="56">
        <f>(E33/'DADES GENERALS'!E13)*1000</f>
        <v>30.818813576392387</v>
      </c>
      <c r="F56" s="56">
        <f>(F33/'DADES GENERALS'!F13)*1000</f>
        <v>27.399960575596293</v>
      </c>
      <c r="G56" s="236"/>
    </row>
    <row r="57" spans="1:7" ht="18.75" hidden="1" thickBot="1" x14ac:dyDescent="0.45">
      <c r="A57" s="250" t="s">
        <v>12</v>
      </c>
      <c r="B57" s="247" t="s">
        <v>76</v>
      </c>
      <c r="C57" s="55">
        <f>(C34/'DADES GENERALS'!C14)*1000</f>
        <v>20.600180505415164</v>
      </c>
      <c r="D57" s="56">
        <f>(D34/'DADES GENERALS'!D14)*1000</f>
        <v>20.239169675090253</v>
      </c>
      <c r="E57" s="56">
        <f>(E34/'DADES GENERALS'!E14)*1000</f>
        <v>19.872634479020821</v>
      </c>
      <c r="F57" s="56">
        <f>(F34/'DADES GENERALS'!F14)*1000</f>
        <v>18.074664797125582</v>
      </c>
      <c r="G57" s="236"/>
    </row>
    <row r="58" spans="1:7" ht="18.75" hidden="1" thickBot="1" x14ac:dyDescent="0.45">
      <c r="A58" s="250" t="s">
        <v>13</v>
      </c>
      <c r="B58" s="247" t="s">
        <v>76</v>
      </c>
      <c r="C58" s="55">
        <f>(C35/'DADES GENERALS'!C15)*1000</f>
        <v>23.157577129063892</v>
      </c>
      <c r="D58" s="56">
        <f>(D35/'DADES GENERALS'!D15)*1000</f>
        <v>23.180940115904701</v>
      </c>
      <c r="E58" s="56">
        <f>(E35/'DADES GENERALS'!E15)*1000</f>
        <v>22.84789400383935</v>
      </c>
      <c r="F58" s="56">
        <f>(F35/'DADES GENERALS'!F15)*1000</f>
        <v>21.26250735726898</v>
      </c>
      <c r="G58" s="236"/>
    </row>
    <row r="59" spans="1:7" ht="18.75" hidden="1" thickBot="1" x14ac:dyDescent="0.45">
      <c r="A59" s="250" t="s">
        <v>14</v>
      </c>
      <c r="B59" s="247" t="s">
        <v>76</v>
      </c>
      <c r="C59" s="55">
        <f>(C36/'DADES GENERALS'!C16)*1000</f>
        <v>28.605893503360328</v>
      </c>
      <c r="D59" s="56">
        <f>(D36/'DADES GENERALS'!D16)*1000</f>
        <v>27.454669859733151</v>
      </c>
      <c r="E59" s="56">
        <f>(E36/'DADES GENERALS'!E16)*1000</f>
        <v>27.946849549935703</v>
      </c>
      <c r="F59" s="56">
        <f>(F36/'DADES GENERALS'!F16)*1000</f>
        <v>26.360544217687078</v>
      </c>
      <c r="G59" s="236"/>
    </row>
    <row r="60" spans="1:7" ht="18.75" hidden="1" thickBot="1" x14ac:dyDescent="0.45">
      <c r="A60" s="250" t="s">
        <v>15</v>
      </c>
      <c r="B60" s="247" t="s">
        <v>76</v>
      </c>
      <c r="C60" s="55">
        <f>(C37/'DADES GENERALS'!C17)*1000</f>
        <v>23.373935945068901</v>
      </c>
      <c r="D60" s="56">
        <f>(D37/'DADES GENERALS'!D17)*1000</f>
        <v>23.316423884209055</v>
      </c>
      <c r="E60" s="56">
        <f>(E37/'DADES GENERALS'!E17)*1000</f>
        <v>22.103763613804514</v>
      </c>
      <c r="F60" s="56">
        <f>(F37/'DADES GENERALS'!F17)*1000</f>
        <v>20.372369131138694</v>
      </c>
      <c r="G60" s="236"/>
    </row>
    <row r="61" spans="1:7" ht="18.75" hidden="1" thickBot="1" x14ac:dyDescent="0.45">
      <c r="A61" s="250" t="s">
        <v>16</v>
      </c>
      <c r="B61" s="247" t="s">
        <v>76</v>
      </c>
      <c r="C61" s="55">
        <f>(C38/'DADES GENERALS'!C18)*1000</f>
        <v>26.534195195914133</v>
      </c>
      <c r="D61" s="56">
        <f>(D38/'DADES GENERALS'!D18)*1000</f>
        <v>26.003594967046137</v>
      </c>
      <c r="E61" s="56">
        <f>(E38/'DADES GENERALS'!E18)*1000</f>
        <v>24.436762426987723</v>
      </c>
      <c r="F61" s="56">
        <f>(F38/'DADES GENERALS'!F18)*1000</f>
        <v>22.000781555295035</v>
      </c>
      <c r="G61" s="236"/>
    </row>
    <row r="62" spans="1:7" ht="18.75" hidden="1" thickBot="1" x14ac:dyDescent="0.45">
      <c r="A62" s="250" t="s">
        <v>17</v>
      </c>
      <c r="B62" s="248" t="s">
        <v>76</v>
      </c>
      <c r="C62" s="55">
        <f>(C39/'DADES GENERALS'!C19)*1000</f>
        <v>26.946395919545761</v>
      </c>
      <c r="D62" s="56">
        <f>(D39/'DADES GENERALS'!D19)*1000</f>
        <v>25.425367362722348</v>
      </c>
      <c r="E62" s="56">
        <f>(E39/'DADES GENERALS'!E19)*1000</f>
        <v>25.316455696202532</v>
      </c>
      <c r="F62" s="56">
        <f>(F39/'DADES GENERALS'!F19)*1000</f>
        <v>24.442982043809344</v>
      </c>
      <c r="G62" s="236"/>
    </row>
    <row r="63" spans="1:7" ht="18.75" hidden="1" thickBot="1" x14ac:dyDescent="0.45">
      <c r="A63" s="250" t="s">
        <v>18</v>
      </c>
      <c r="B63" s="247" t="s">
        <v>76</v>
      </c>
      <c r="C63" s="55">
        <f>(C40/'DADES GENERALS'!C20)*1000</f>
        <v>23.377712548485164</v>
      </c>
      <c r="D63" s="56">
        <f>(D40/'DADES GENERALS'!D20)*1000</f>
        <v>23.580240487220863</v>
      </c>
      <c r="E63" s="56">
        <f>(E40/'DADES GENERALS'!E20)*1000</f>
        <v>23.681210488133488</v>
      </c>
      <c r="F63" s="56">
        <f>(F40/'DADES GENERALS'!F20)*1000</f>
        <v>23.116394858507341</v>
      </c>
      <c r="G63" s="236"/>
    </row>
    <row r="64" spans="1:7" ht="18.75" hidden="1" thickBot="1" x14ac:dyDescent="0.45">
      <c r="A64" s="250" t="s">
        <v>19</v>
      </c>
      <c r="B64" s="247" t="s">
        <v>76</v>
      </c>
      <c r="C64" s="55">
        <f>(C41/'DADES GENERALS'!C21)*1000</f>
        <v>22.796026774016816</v>
      </c>
      <c r="D64" s="56">
        <f>(D41/'DADES GENERALS'!D21)*1000</f>
        <v>22.767033620946147</v>
      </c>
      <c r="E64" s="56">
        <f>(E41/'DADES GENERALS'!E21)*1000</f>
        <v>22.53881750487421</v>
      </c>
      <c r="F64" s="56">
        <f>(F41/'DADES GENERALS'!F21)*1000</f>
        <v>20.951944555816482</v>
      </c>
      <c r="G64" s="236"/>
    </row>
    <row r="65" spans="1:7" ht="18.75" hidden="1" thickBot="1" x14ac:dyDescent="0.45">
      <c r="A65" s="251" t="s">
        <v>20</v>
      </c>
      <c r="B65" s="248" t="s">
        <v>76</v>
      </c>
      <c r="C65" s="59">
        <f>(C42/'DADES GENERALS'!C22)*1000</f>
        <v>21.525317084478591</v>
      </c>
      <c r="D65" s="60">
        <f>(D42/'DADES GENERALS'!D22)*1000</f>
        <v>21.749205508474574</v>
      </c>
      <c r="E65" s="60">
        <f>(E42/'DADES GENERALS'!E22)*1000</f>
        <v>21.598628239794234</v>
      </c>
      <c r="F65" s="60">
        <f>(F42/'DADES GENERALS'!F22)*1000</f>
        <v>21.171420208787278</v>
      </c>
      <c r="G65" s="237"/>
    </row>
    <row r="66" spans="1:7" ht="18.75" hidden="1" thickBot="1" x14ac:dyDescent="0.45">
      <c r="A66" s="68" t="s">
        <v>1</v>
      </c>
      <c r="B66" s="213" t="s">
        <v>77</v>
      </c>
      <c r="C66" s="214">
        <v>693</v>
      </c>
      <c r="D66" s="215">
        <v>693</v>
      </c>
      <c r="E66" s="215">
        <v>629</v>
      </c>
      <c r="F66" s="91" t="s">
        <v>65</v>
      </c>
      <c r="G66" s="242"/>
    </row>
    <row r="67" spans="1:7" ht="18.75" hidden="1" thickBot="1" x14ac:dyDescent="0.45">
      <c r="A67" s="69" t="s">
        <v>2</v>
      </c>
      <c r="B67" s="15" t="s">
        <v>77</v>
      </c>
      <c r="C67" s="199" t="s">
        <v>65</v>
      </c>
      <c r="D67" s="200" t="s">
        <v>65</v>
      </c>
      <c r="E67" s="200" t="s">
        <v>65</v>
      </c>
      <c r="F67" s="94" t="s">
        <v>65</v>
      </c>
      <c r="G67" s="236"/>
    </row>
    <row r="68" spans="1:7" ht="18.75" hidden="1" thickBot="1" x14ac:dyDescent="0.45">
      <c r="A68" s="69" t="s">
        <v>3</v>
      </c>
      <c r="B68" s="15" t="s">
        <v>77</v>
      </c>
      <c r="C68" s="199">
        <v>219</v>
      </c>
      <c r="D68" s="200">
        <v>211</v>
      </c>
      <c r="E68" s="200">
        <v>208</v>
      </c>
      <c r="F68" s="94" t="s">
        <v>65</v>
      </c>
      <c r="G68" s="236"/>
    </row>
    <row r="69" spans="1:7" ht="18.75" hidden="1" thickBot="1" x14ac:dyDescent="0.45">
      <c r="A69" s="69" t="s">
        <v>4</v>
      </c>
      <c r="B69" s="15" t="s">
        <v>77</v>
      </c>
      <c r="C69" s="199">
        <v>74</v>
      </c>
      <c r="D69" s="200">
        <v>133</v>
      </c>
      <c r="E69" s="200">
        <v>505</v>
      </c>
      <c r="F69" s="94" t="s">
        <v>65</v>
      </c>
      <c r="G69" s="236"/>
    </row>
    <row r="70" spans="1:7" ht="18.75" hidden="1" thickBot="1" x14ac:dyDescent="0.45">
      <c r="A70" s="69" t="s">
        <v>5</v>
      </c>
      <c r="B70" s="15" t="s">
        <v>77</v>
      </c>
      <c r="C70" s="199" t="s">
        <v>65</v>
      </c>
      <c r="D70" s="200" t="s">
        <v>65</v>
      </c>
      <c r="E70" s="200" t="s">
        <v>65</v>
      </c>
      <c r="F70" s="94" t="s">
        <v>65</v>
      </c>
      <c r="G70" s="236"/>
    </row>
    <row r="71" spans="1:7" ht="18.75" hidden="1" thickBot="1" x14ac:dyDescent="0.45">
      <c r="A71" s="69" t="s">
        <v>6</v>
      </c>
      <c r="B71" s="15" t="s">
        <v>77</v>
      </c>
      <c r="C71" s="199" t="s">
        <v>65</v>
      </c>
      <c r="D71" s="200" t="s">
        <v>65</v>
      </c>
      <c r="E71" s="200" t="s">
        <v>65</v>
      </c>
      <c r="F71" s="94" t="s">
        <v>65</v>
      </c>
      <c r="G71" s="236"/>
    </row>
    <row r="72" spans="1:7" ht="18.75" hidden="1" thickBot="1" x14ac:dyDescent="0.45">
      <c r="A72" s="69" t="s">
        <v>7</v>
      </c>
      <c r="B72" s="15" t="s">
        <v>77</v>
      </c>
      <c r="C72" s="199" t="s">
        <v>65</v>
      </c>
      <c r="D72" s="200" t="s">
        <v>65</v>
      </c>
      <c r="E72" s="200" t="s">
        <v>65</v>
      </c>
      <c r="F72" s="94" t="s">
        <v>65</v>
      </c>
      <c r="G72" s="236"/>
    </row>
    <row r="73" spans="1:7" ht="18.75" hidden="1" thickBot="1" x14ac:dyDescent="0.45">
      <c r="A73" s="69" t="s">
        <v>8</v>
      </c>
      <c r="B73" s="15" t="s">
        <v>77</v>
      </c>
      <c r="C73" s="199">
        <v>281</v>
      </c>
      <c r="D73" s="33">
        <v>458</v>
      </c>
      <c r="E73" s="33">
        <v>644</v>
      </c>
      <c r="F73" s="94" t="s">
        <v>65</v>
      </c>
      <c r="G73" s="236"/>
    </row>
    <row r="74" spans="1:7" ht="18.75" hidden="1" thickBot="1" x14ac:dyDescent="0.45">
      <c r="A74" s="69" t="s">
        <v>9</v>
      </c>
      <c r="B74" s="15" t="s">
        <v>77</v>
      </c>
      <c r="C74" s="199">
        <v>3</v>
      </c>
      <c r="D74" s="200">
        <v>3</v>
      </c>
      <c r="E74" s="200" t="s">
        <v>65</v>
      </c>
      <c r="F74" s="94" t="s">
        <v>65</v>
      </c>
      <c r="G74" s="236"/>
    </row>
    <row r="75" spans="1:7" ht="18.75" hidden="1" thickBot="1" x14ac:dyDescent="0.45">
      <c r="A75" s="69" t="s">
        <v>10</v>
      </c>
      <c r="B75" s="15" t="s">
        <v>77</v>
      </c>
      <c r="C75" s="216" t="s">
        <v>65</v>
      </c>
      <c r="D75" s="200" t="s">
        <v>65</v>
      </c>
      <c r="E75" s="200" t="s">
        <v>65</v>
      </c>
      <c r="F75" s="94" t="s">
        <v>65</v>
      </c>
      <c r="G75" s="236"/>
    </row>
    <row r="76" spans="1:7" ht="18.75" hidden="1" thickBot="1" x14ac:dyDescent="0.45">
      <c r="A76" s="69" t="s">
        <v>11</v>
      </c>
      <c r="B76" s="15" t="s">
        <v>77</v>
      </c>
      <c r="C76" s="199" t="s">
        <v>65</v>
      </c>
      <c r="D76" s="200" t="s">
        <v>65</v>
      </c>
      <c r="E76" s="200" t="s">
        <v>65</v>
      </c>
      <c r="F76" s="94" t="s">
        <v>65</v>
      </c>
      <c r="G76" s="236"/>
    </row>
    <row r="77" spans="1:7" ht="18.75" hidden="1" thickBot="1" x14ac:dyDescent="0.45">
      <c r="A77" s="69" t="s">
        <v>12</v>
      </c>
      <c r="B77" s="15" t="s">
        <v>77</v>
      </c>
      <c r="C77" s="199" t="s">
        <v>65</v>
      </c>
      <c r="D77" s="200" t="s">
        <v>65</v>
      </c>
      <c r="E77" s="200" t="s">
        <v>65</v>
      </c>
      <c r="F77" s="94" t="s">
        <v>65</v>
      </c>
      <c r="G77" s="236"/>
    </row>
    <row r="78" spans="1:7" ht="18.75" hidden="1" thickBot="1" x14ac:dyDescent="0.45">
      <c r="A78" s="69" t="s">
        <v>13</v>
      </c>
      <c r="B78" s="15" t="s">
        <v>77</v>
      </c>
      <c r="C78" s="199">
        <v>400</v>
      </c>
      <c r="D78" s="200" t="s">
        <v>65</v>
      </c>
      <c r="E78" s="200" t="s">
        <v>65</v>
      </c>
      <c r="F78" s="94" t="s">
        <v>65</v>
      </c>
      <c r="G78" s="236"/>
    </row>
    <row r="79" spans="1:7" ht="18.75" hidden="1" thickBot="1" x14ac:dyDescent="0.45">
      <c r="A79" s="69" t="s">
        <v>14</v>
      </c>
      <c r="B79" s="15" t="s">
        <v>77</v>
      </c>
      <c r="C79" s="199">
        <v>115</v>
      </c>
      <c r="D79" s="200" t="s">
        <v>65</v>
      </c>
      <c r="E79" s="200" t="s">
        <v>65</v>
      </c>
      <c r="F79" s="94" t="s">
        <v>65</v>
      </c>
      <c r="G79" s="236"/>
    </row>
    <row r="80" spans="1:7" ht="18.75" hidden="1" thickBot="1" x14ac:dyDescent="0.45">
      <c r="A80" s="69" t="s">
        <v>15</v>
      </c>
      <c r="B80" s="15" t="s">
        <v>77</v>
      </c>
      <c r="C80" s="199">
        <v>438</v>
      </c>
      <c r="D80" s="200">
        <v>454</v>
      </c>
      <c r="E80" s="200" t="s">
        <v>65</v>
      </c>
      <c r="F80" s="94" t="s">
        <v>65</v>
      </c>
      <c r="G80" s="236"/>
    </row>
    <row r="81" spans="1:7" ht="18.75" hidden="1" thickBot="1" x14ac:dyDescent="0.45">
      <c r="A81" s="69" t="s">
        <v>16</v>
      </c>
      <c r="B81" s="15" t="s">
        <v>77</v>
      </c>
      <c r="C81" s="199">
        <v>414</v>
      </c>
      <c r="D81" s="200" t="s">
        <v>65</v>
      </c>
      <c r="E81" s="200" t="s">
        <v>65</v>
      </c>
      <c r="F81" s="94" t="s">
        <v>65</v>
      </c>
      <c r="G81" s="236"/>
    </row>
    <row r="82" spans="1:7" ht="18.75" hidden="1" thickBot="1" x14ac:dyDescent="0.45">
      <c r="A82" s="69" t="s">
        <v>17</v>
      </c>
      <c r="B82" s="15" t="s">
        <v>77</v>
      </c>
      <c r="C82" s="199" t="s">
        <v>65</v>
      </c>
      <c r="D82" s="200">
        <v>225</v>
      </c>
      <c r="E82" s="200">
        <v>205</v>
      </c>
      <c r="F82" s="94" t="s">
        <v>65</v>
      </c>
      <c r="G82" s="236"/>
    </row>
    <row r="83" spans="1:7" ht="18.75" hidden="1" thickBot="1" x14ac:dyDescent="0.45">
      <c r="A83" s="69" t="s">
        <v>18</v>
      </c>
      <c r="B83" s="15" t="s">
        <v>77</v>
      </c>
      <c r="C83" s="199">
        <v>385</v>
      </c>
      <c r="D83" s="200" t="s">
        <v>65</v>
      </c>
      <c r="E83" s="200">
        <v>386</v>
      </c>
      <c r="F83" s="94" t="s">
        <v>65</v>
      </c>
      <c r="G83" s="236"/>
    </row>
    <row r="84" spans="1:7" ht="18.75" hidden="1" thickBot="1" x14ac:dyDescent="0.45">
      <c r="A84" s="69" t="s">
        <v>19</v>
      </c>
      <c r="B84" s="15" t="s">
        <v>77</v>
      </c>
      <c r="C84" s="199" t="s">
        <v>65</v>
      </c>
      <c r="D84" s="200" t="s">
        <v>65</v>
      </c>
      <c r="E84" s="200">
        <v>719</v>
      </c>
      <c r="F84" s="94" t="s">
        <v>65</v>
      </c>
      <c r="G84" s="236"/>
    </row>
    <row r="85" spans="1:7" ht="18.75" hidden="1" thickBot="1" x14ac:dyDescent="0.45">
      <c r="A85" s="70" t="s">
        <v>20</v>
      </c>
      <c r="B85" s="15" t="s">
        <v>77</v>
      </c>
      <c r="C85" s="199">
        <v>563</v>
      </c>
      <c r="D85" s="200" t="s">
        <v>65</v>
      </c>
      <c r="E85" s="200">
        <v>289</v>
      </c>
      <c r="F85" s="94" t="s">
        <v>65</v>
      </c>
      <c r="G85" s="236"/>
    </row>
    <row r="86" spans="1:7" ht="18.75" hidden="1" thickBot="1" x14ac:dyDescent="0.45">
      <c r="A86" s="156" t="s">
        <v>86</v>
      </c>
      <c r="B86" s="49" t="s">
        <v>77</v>
      </c>
      <c r="C86" s="41">
        <f>SUM(C66:C85)</f>
        <v>3585</v>
      </c>
      <c r="D86" s="37">
        <f t="shared" ref="D86:F86" si="3">SUM(D66:D85)</f>
        <v>2177</v>
      </c>
      <c r="E86" s="37">
        <f t="shared" si="3"/>
        <v>3585</v>
      </c>
      <c r="F86" s="37">
        <f t="shared" si="3"/>
        <v>0</v>
      </c>
      <c r="G86" s="241"/>
    </row>
    <row r="87" spans="1:7" ht="18.75" hidden="1" thickBot="1" x14ac:dyDescent="0.45">
      <c r="A87" s="156" t="s">
        <v>40</v>
      </c>
      <c r="B87" s="49" t="s">
        <v>77</v>
      </c>
      <c r="C87" s="41">
        <f>AVERAGE(C66:C85)</f>
        <v>325.90909090909093</v>
      </c>
      <c r="D87" s="37">
        <f t="shared" ref="D87:E87" si="4">AVERAGE(D66:D85)</f>
        <v>311</v>
      </c>
      <c r="E87" s="37">
        <f t="shared" si="4"/>
        <v>448.125</v>
      </c>
      <c r="F87" s="37">
        <v>0</v>
      </c>
      <c r="G87" s="241"/>
    </row>
    <row r="88" spans="1:7" ht="18.75" hidden="1" thickBot="1" x14ac:dyDescent="0.45">
      <c r="A88" s="252" t="s">
        <v>41</v>
      </c>
      <c r="B88" s="71" t="s">
        <v>77</v>
      </c>
      <c r="C88" s="41">
        <f>MEDIAN(C66:C85)</f>
        <v>385</v>
      </c>
      <c r="D88" s="37">
        <f t="shared" ref="D88:E88" si="5">MEDIAN(D66:D85)</f>
        <v>225</v>
      </c>
      <c r="E88" s="37">
        <f t="shared" si="5"/>
        <v>445.5</v>
      </c>
      <c r="F88" s="37">
        <v>0</v>
      </c>
      <c r="G88" s="241"/>
    </row>
    <row r="89" spans="1:7" ht="18.75" hidden="1" thickBot="1" x14ac:dyDescent="0.45">
      <c r="A89" s="68" t="s">
        <v>1</v>
      </c>
      <c r="B89" s="76" t="s">
        <v>78</v>
      </c>
      <c r="C89" s="168">
        <v>5</v>
      </c>
      <c r="D89" s="169">
        <v>5</v>
      </c>
      <c r="E89" s="169">
        <v>5</v>
      </c>
      <c r="F89" s="169">
        <v>4</v>
      </c>
      <c r="G89" s="242"/>
    </row>
    <row r="90" spans="1:7" ht="18.75" hidden="1" thickBot="1" x14ac:dyDescent="0.45">
      <c r="A90" s="69" t="s">
        <v>2</v>
      </c>
      <c r="B90" s="77" t="s">
        <v>78</v>
      </c>
      <c r="C90" s="162">
        <v>4</v>
      </c>
      <c r="D90" s="33">
        <v>4</v>
      </c>
      <c r="E90" s="33">
        <v>4</v>
      </c>
      <c r="F90" s="33">
        <v>4</v>
      </c>
      <c r="G90" s="236"/>
    </row>
    <row r="91" spans="1:7" ht="18.75" hidden="1" thickBot="1" x14ac:dyDescent="0.45">
      <c r="A91" s="69" t="s">
        <v>3</v>
      </c>
      <c r="B91" s="77" t="s">
        <v>78</v>
      </c>
      <c r="C91" s="162">
        <v>1</v>
      </c>
      <c r="D91" s="33">
        <v>2</v>
      </c>
      <c r="E91" s="33">
        <v>2</v>
      </c>
      <c r="F91" s="33">
        <v>2</v>
      </c>
      <c r="G91" s="236"/>
    </row>
    <row r="92" spans="1:7" ht="18.75" hidden="1" thickBot="1" x14ac:dyDescent="0.45">
      <c r="A92" s="69" t="s">
        <v>4</v>
      </c>
      <c r="B92" s="77" t="s">
        <v>78</v>
      </c>
      <c r="C92" s="162">
        <v>9</v>
      </c>
      <c r="D92" s="33">
        <v>9</v>
      </c>
      <c r="E92" s="33">
        <v>9</v>
      </c>
      <c r="F92" s="33">
        <v>9</v>
      </c>
      <c r="G92" s="236"/>
    </row>
    <row r="93" spans="1:7" ht="18.75" hidden="1" thickBot="1" x14ac:dyDescent="0.45">
      <c r="A93" s="69" t="s">
        <v>5</v>
      </c>
      <c r="B93" s="77" t="s">
        <v>78</v>
      </c>
      <c r="C93" s="162">
        <v>2</v>
      </c>
      <c r="D93" s="33">
        <v>2</v>
      </c>
      <c r="E93" s="33">
        <v>2</v>
      </c>
      <c r="F93" s="33">
        <v>2</v>
      </c>
      <c r="G93" s="236"/>
    </row>
    <row r="94" spans="1:7" ht="18.75" hidden="1" thickBot="1" x14ac:dyDescent="0.45">
      <c r="A94" s="69" t="s">
        <v>6</v>
      </c>
      <c r="B94" s="77" t="s">
        <v>78</v>
      </c>
      <c r="C94" s="162">
        <v>1</v>
      </c>
      <c r="D94" s="33">
        <v>1</v>
      </c>
      <c r="E94" s="33">
        <v>1</v>
      </c>
      <c r="F94" s="33">
        <v>1</v>
      </c>
      <c r="G94" s="236"/>
    </row>
    <row r="95" spans="1:7" ht="18.75" hidden="1" thickBot="1" x14ac:dyDescent="0.45">
      <c r="A95" s="69" t="s">
        <v>7</v>
      </c>
      <c r="B95" s="77" t="s">
        <v>78</v>
      </c>
      <c r="C95" s="162">
        <v>9</v>
      </c>
      <c r="D95" s="33">
        <v>9</v>
      </c>
      <c r="E95" s="33">
        <v>9</v>
      </c>
      <c r="F95" s="33">
        <v>7</v>
      </c>
      <c r="G95" s="236"/>
    </row>
    <row r="96" spans="1:7" ht="18.75" hidden="1" thickBot="1" x14ac:dyDescent="0.45">
      <c r="A96" s="69" t="s">
        <v>8</v>
      </c>
      <c r="B96" s="77" t="s">
        <v>78</v>
      </c>
      <c r="C96" s="162">
        <v>1</v>
      </c>
      <c r="D96" s="33">
        <v>1</v>
      </c>
      <c r="E96" s="33">
        <v>1</v>
      </c>
      <c r="F96" s="33">
        <v>1</v>
      </c>
      <c r="G96" s="236"/>
    </row>
    <row r="97" spans="1:7" ht="18.75" hidden="1" thickBot="1" x14ac:dyDescent="0.45">
      <c r="A97" s="69" t="s">
        <v>9</v>
      </c>
      <c r="B97" s="77" t="s">
        <v>78</v>
      </c>
      <c r="C97" s="162">
        <v>0</v>
      </c>
      <c r="D97" s="33">
        <v>0</v>
      </c>
      <c r="E97" s="33">
        <v>0</v>
      </c>
      <c r="F97" s="33">
        <v>0</v>
      </c>
      <c r="G97" s="236"/>
    </row>
    <row r="98" spans="1:7" ht="18.75" hidden="1" thickBot="1" x14ac:dyDescent="0.45">
      <c r="A98" s="69" t="s">
        <v>10</v>
      </c>
      <c r="B98" s="77" t="s">
        <v>78</v>
      </c>
      <c r="C98" s="162">
        <v>5</v>
      </c>
      <c r="D98" s="33">
        <v>5</v>
      </c>
      <c r="E98" s="33">
        <v>5</v>
      </c>
      <c r="F98" s="33">
        <v>3</v>
      </c>
      <c r="G98" s="236"/>
    </row>
    <row r="99" spans="1:7" ht="18.75" hidden="1" thickBot="1" x14ac:dyDescent="0.45">
      <c r="A99" s="69" t="s">
        <v>11</v>
      </c>
      <c r="B99" s="77" t="s">
        <v>78</v>
      </c>
      <c r="C99" s="162">
        <v>1</v>
      </c>
      <c r="D99" s="33">
        <v>1</v>
      </c>
      <c r="E99" s="33">
        <v>1</v>
      </c>
      <c r="F99" s="33">
        <v>1</v>
      </c>
      <c r="G99" s="236"/>
    </row>
    <row r="100" spans="1:7" ht="18.75" hidden="1" thickBot="1" x14ac:dyDescent="0.45">
      <c r="A100" s="69" t="s">
        <v>12</v>
      </c>
      <c r="B100" s="77" t="s">
        <v>78</v>
      </c>
      <c r="C100" s="162">
        <v>1</v>
      </c>
      <c r="D100" s="33">
        <v>1</v>
      </c>
      <c r="E100" s="33">
        <v>1</v>
      </c>
      <c r="F100" s="33">
        <v>1</v>
      </c>
      <c r="G100" s="236"/>
    </row>
    <row r="101" spans="1:7" ht="18.75" hidden="1" thickBot="1" x14ac:dyDescent="0.45">
      <c r="A101" s="69" t="s">
        <v>13</v>
      </c>
      <c r="B101" s="77" t="s">
        <v>78</v>
      </c>
      <c r="C101" s="162">
        <v>3</v>
      </c>
      <c r="D101" s="33">
        <v>3</v>
      </c>
      <c r="E101" s="33">
        <v>3</v>
      </c>
      <c r="F101" s="33">
        <v>1</v>
      </c>
      <c r="G101" s="236"/>
    </row>
    <row r="102" spans="1:7" ht="18.75" hidden="1" thickBot="1" x14ac:dyDescent="0.45">
      <c r="A102" s="69" t="s">
        <v>14</v>
      </c>
      <c r="B102" s="77" t="s">
        <v>78</v>
      </c>
      <c r="C102" s="162">
        <v>4</v>
      </c>
      <c r="D102" s="33">
        <v>4</v>
      </c>
      <c r="E102" s="33">
        <v>4</v>
      </c>
      <c r="F102" s="33">
        <v>4</v>
      </c>
      <c r="G102" s="236"/>
    </row>
    <row r="103" spans="1:7" ht="18.75" hidden="1" thickBot="1" x14ac:dyDescent="0.45">
      <c r="A103" s="69" t="s">
        <v>15</v>
      </c>
      <c r="B103" s="77" t="s">
        <v>78</v>
      </c>
      <c r="C103" s="162">
        <v>1</v>
      </c>
      <c r="D103" s="33">
        <v>4</v>
      </c>
      <c r="E103" s="33">
        <v>4</v>
      </c>
      <c r="F103" s="33">
        <v>5</v>
      </c>
      <c r="G103" s="236"/>
    </row>
    <row r="104" spans="1:7" ht="18.75" hidden="1" thickBot="1" x14ac:dyDescent="0.45">
      <c r="A104" s="69" t="s">
        <v>16</v>
      </c>
      <c r="B104" s="77" t="s">
        <v>78</v>
      </c>
      <c r="C104" s="162">
        <v>7</v>
      </c>
      <c r="D104" s="33">
        <v>7</v>
      </c>
      <c r="E104" s="33">
        <v>7</v>
      </c>
      <c r="F104" s="33">
        <v>4</v>
      </c>
      <c r="G104" s="236"/>
    </row>
    <row r="105" spans="1:7" ht="18.75" hidden="1" thickBot="1" x14ac:dyDescent="0.45">
      <c r="A105" s="69" t="s">
        <v>17</v>
      </c>
      <c r="B105" s="77" t="s">
        <v>78</v>
      </c>
      <c r="C105" s="162">
        <v>1</v>
      </c>
      <c r="D105" s="33">
        <v>1</v>
      </c>
      <c r="E105" s="33">
        <v>1</v>
      </c>
      <c r="F105" s="33">
        <v>1</v>
      </c>
      <c r="G105" s="236"/>
    </row>
    <row r="106" spans="1:7" ht="18.75" hidden="1" thickBot="1" x14ac:dyDescent="0.45">
      <c r="A106" s="69" t="s">
        <v>18</v>
      </c>
      <c r="B106" s="77" t="s">
        <v>78</v>
      </c>
      <c r="C106" s="162">
        <v>3</v>
      </c>
      <c r="D106" s="33">
        <v>3</v>
      </c>
      <c r="E106" s="33">
        <v>3</v>
      </c>
      <c r="F106" s="33">
        <v>12</v>
      </c>
      <c r="G106" s="236"/>
    </row>
    <row r="107" spans="1:7" ht="18.75" hidden="1" thickBot="1" x14ac:dyDescent="0.45">
      <c r="A107" s="69" t="s">
        <v>19</v>
      </c>
      <c r="B107" s="77" t="s">
        <v>78</v>
      </c>
      <c r="C107" s="162">
        <v>1</v>
      </c>
      <c r="D107" s="33">
        <v>1</v>
      </c>
      <c r="E107" s="33">
        <v>1</v>
      </c>
      <c r="F107" s="33">
        <v>2</v>
      </c>
      <c r="G107" s="236"/>
    </row>
    <row r="108" spans="1:7" ht="18.75" hidden="1" thickBot="1" x14ac:dyDescent="0.45">
      <c r="A108" s="70" t="s">
        <v>20</v>
      </c>
      <c r="B108" s="77" t="s">
        <v>78</v>
      </c>
      <c r="C108" s="162">
        <v>4</v>
      </c>
      <c r="D108" s="33">
        <v>4</v>
      </c>
      <c r="E108" s="33">
        <v>4</v>
      </c>
      <c r="F108" s="33">
        <v>3</v>
      </c>
      <c r="G108" s="236"/>
    </row>
    <row r="109" spans="1:7" ht="18.75" hidden="1" thickBot="1" x14ac:dyDescent="0.45">
      <c r="A109" s="34" t="s">
        <v>87</v>
      </c>
      <c r="B109" s="100" t="s">
        <v>78</v>
      </c>
      <c r="C109" s="41">
        <f>SUM(C89:C108)</f>
        <v>63</v>
      </c>
      <c r="D109" s="37">
        <f t="shared" ref="D109" si="6">SUM(D89:D108)</f>
        <v>67</v>
      </c>
      <c r="E109" s="37">
        <f t="shared" ref="E109" si="7">SUM(E89:E108)</f>
        <v>67</v>
      </c>
      <c r="F109" s="37">
        <f t="shared" ref="F109" si="8">SUM(F89:F108)</f>
        <v>67</v>
      </c>
      <c r="G109" s="241"/>
    </row>
    <row r="110" spans="1:7" ht="18.75" hidden="1" thickBot="1" x14ac:dyDescent="0.45">
      <c r="A110" s="34" t="s">
        <v>40</v>
      </c>
      <c r="B110" s="100" t="s">
        <v>78</v>
      </c>
      <c r="C110" s="141">
        <f>AVERAGE(C89:C108)</f>
        <v>3.15</v>
      </c>
      <c r="D110" s="142">
        <f t="shared" ref="D110:E110" si="9">AVERAGE(D89:D108)</f>
        <v>3.35</v>
      </c>
      <c r="E110" s="142">
        <f t="shared" si="9"/>
        <v>3.35</v>
      </c>
      <c r="F110" s="142">
        <f>AVERAGE(F89:F108)</f>
        <v>3.35</v>
      </c>
      <c r="G110" s="241"/>
    </row>
    <row r="111" spans="1:7" ht="18.75" hidden="1" thickBot="1" x14ac:dyDescent="0.45">
      <c r="A111" s="34" t="s">
        <v>41</v>
      </c>
      <c r="B111" s="100" t="s">
        <v>78</v>
      </c>
      <c r="C111" s="141">
        <f>MEDIAN(C89:C108)</f>
        <v>2.5</v>
      </c>
      <c r="D111" s="142">
        <f t="shared" ref="D111:F111" si="10">MEDIAN(D89:D108)</f>
        <v>3</v>
      </c>
      <c r="E111" s="142">
        <f t="shared" si="10"/>
        <v>3</v>
      </c>
      <c r="F111" s="142">
        <f t="shared" si="10"/>
        <v>2.5</v>
      </c>
      <c r="G111" s="241"/>
    </row>
    <row r="112" spans="1:7" ht="18.75" hidden="1" thickBot="1" x14ac:dyDescent="0.45">
      <c r="A112" s="249" t="s">
        <v>1</v>
      </c>
      <c r="B112" s="25" t="s">
        <v>79</v>
      </c>
      <c r="C112" s="217">
        <v>252</v>
      </c>
      <c r="D112" s="218">
        <v>242</v>
      </c>
      <c r="E112" s="218">
        <v>239</v>
      </c>
      <c r="F112" s="218">
        <v>222</v>
      </c>
      <c r="G112" s="242"/>
    </row>
    <row r="113" spans="1:7" ht="18.75" hidden="1" thickBot="1" x14ac:dyDescent="0.45">
      <c r="A113" s="250" t="s">
        <v>2</v>
      </c>
      <c r="B113" s="25" t="s">
        <v>79</v>
      </c>
      <c r="C113" s="219">
        <v>105</v>
      </c>
      <c r="D113" s="220">
        <v>97</v>
      </c>
      <c r="E113" s="220">
        <v>93</v>
      </c>
      <c r="F113" s="220">
        <v>101</v>
      </c>
      <c r="G113" s="236"/>
    </row>
    <row r="114" spans="1:7" ht="18.75" hidden="1" thickBot="1" x14ac:dyDescent="0.45">
      <c r="A114" s="250" t="s">
        <v>3</v>
      </c>
      <c r="B114" s="25" t="s">
        <v>79</v>
      </c>
      <c r="C114" s="219">
        <v>89</v>
      </c>
      <c r="D114" s="220">
        <v>73</v>
      </c>
      <c r="E114" s="220">
        <v>73</v>
      </c>
      <c r="F114" s="220">
        <v>76</v>
      </c>
      <c r="G114" s="236"/>
    </row>
    <row r="115" spans="1:7" ht="18.75" hidden="1" thickBot="1" x14ac:dyDescent="0.45">
      <c r="A115" s="250" t="s">
        <v>4</v>
      </c>
      <c r="B115" s="25" t="s">
        <v>79</v>
      </c>
      <c r="C115" s="219">
        <v>264</v>
      </c>
      <c r="D115" s="220">
        <v>263</v>
      </c>
      <c r="E115" s="220">
        <v>264</v>
      </c>
      <c r="F115" s="220">
        <v>243</v>
      </c>
      <c r="G115" s="236"/>
    </row>
    <row r="116" spans="1:7" ht="18.75" hidden="1" thickBot="1" x14ac:dyDescent="0.45">
      <c r="A116" s="250" t="s">
        <v>5</v>
      </c>
      <c r="B116" s="25" t="s">
        <v>79</v>
      </c>
      <c r="C116" s="219">
        <v>51</v>
      </c>
      <c r="D116" s="220">
        <v>45</v>
      </c>
      <c r="E116" s="220">
        <v>48</v>
      </c>
      <c r="F116" s="220">
        <v>42</v>
      </c>
      <c r="G116" s="236"/>
    </row>
    <row r="117" spans="1:7" ht="18.75" hidden="1" thickBot="1" x14ac:dyDescent="0.45">
      <c r="A117" s="250" t="s">
        <v>6</v>
      </c>
      <c r="B117" s="25" t="s">
        <v>79</v>
      </c>
      <c r="C117" s="219">
        <v>42</v>
      </c>
      <c r="D117" s="220">
        <v>45</v>
      </c>
      <c r="E117" s="220">
        <v>47</v>
      </c>
      <c r="F117" s="220">
        <v>48</v>
      </c>
      <c r="G117" s="236"/>
    </row>
    <row r="118" spans="1:7" ht="18.75" hidden="1" thickBot="1" x14ac:dyDescent="0.45">
      <c r="A118" s="250" t="s">
        <v>7</v>
      </c>
      <c r="B118" s="25" t="s">
        <v>79</v>
      </c>
      <c r="C118" s="219">
        <v>136</v>
      </c>
      <c r="D118" s="220">
        <v>135</v>
      </c>
      <c r="E118" s="220">
        <v>129</v>
      </c>
      <c r="F118" s="220">
        <v>127</v>
      </c>
      <c r="G118" s="236"/>
    </row>
    <row r="119" spans="1:7" ht="18.75" hidden="1" thickBot="1" x14ac:dyDescent="0.45">
      <c r="A119" s="250" t="s">
        <v>8</v>
      </c>
      <c r="B119" s="25" t="s">
        <v>79</v>
      </c>
      <c r="C119" s="219">
        <v>193</v>
      </c>
      <c r="D119" s="220">
        <v>181</v>
      </c>
      <c r="E119" s="220">
        <v>194</v>
      </c>
      <c r="F119" s="220">
        <v>153</v>
      </c>
      <c r="G119" s="236"/>
    </row>
    <row r="120" spans="1:7" ht="18.75" hidden="1" thickBot="1" x14ac:dyDescent="0.45">
      <c r="A120" s="250" t="s">
        <v>9</v>
      </c>
      <c r="B120" s="25" t="s">
        <v>79</v>
      </c>
      <c r="C120" s="219">
        <v>0</v>
      </c>
      <c r="D120" s="220">
        <v>0</v>
      </c>
      <c r="E120" s="220">
        <v>0</v>
      </c>
      <c r="F120" s="220">
        <v>0</v>
      </c>
      <c r="G120" s="236"/>
    </row>
    <row r="121" spans="1:7" ht="18.75" hidden="1" thickBot="1" x14ac:dyDescent="0.45">
      <c r="A121" s="250" t="s">
        <v>10</v>
      </c>
      <c r="B121" s="25" t="s">
        <v>79</v>
      </c>
      <c r="C121" s="219">
        <v>177</v>
      </c>
      <c r="D121" s="220">
        <v>170</v>
      </c>
      <c r="E121" s="220">
        <v>170</v>
      </c>
      <c r="F121" s="220">
        <v>158</v>
      </c>
      <c r="G121" s="236"/>
    </row>
    <row r="122" spans="1:7" ht="18.75" hidden="1" thickBot="1" x14ac:dyDescent="0.45">
      <c r="A122" s="250" t="s">
        <v>11</v>
      </c>
      <c r="B122" s="25" t="s">
        <v>79</v>
      </c>
      <c r="C122" s="219">
        <v>79</v>
      </c>
      <c r="D122" s="220">
        <v>81</v>
      </c>
      <c r="E122" s="220">
        <v>74</v>
      </c>
      <c r="F122" s="220">
        <v>67</v>
      </c>
      <c r="G122" s="236"/>
    </row>
    <row r="123" spans="1:7" ht="18.75" hidden="1" thickBot="1" x14ac:dyDescent="0.45">
      <c r="A123" s="250" t="s">
        <v>12</v>
      </c>
      <c r="B123" s="25" t="s">
        <v>79</v>
      </c>
      <c r="C123" s="219">
        <v>106</v>
      </c>
      <c r="D123" s="220">
        <v>97</v>
      </c>
      <c r="E123" s="220">
        <v>94</v>
      </c>
      <c r="F123" s="220">
        <v>73</v>
      </c>
      <c r="G123" s="236"/>
    </row>
    <row r="124" spans="1:7" ht="18.75" hidden="1" thickBot="1" x14ac:dyDescent="0.45">
      <c r="A124" s="250" t="s">
        <v>13</v>
      </c>
      <c r="B124" s="25" t="s">
        <v>79</v>
      </c>
      <c r="C124" s="219">
        <v>119</v>
      </c>
      <c r="D124" s="220">
        <v>118</v>
      </c>
      <c r="E124" s="220">
        <v>116</v>
      </c>
      <c r="F124" s="220">
        <v>110</v>
      </c>
      <c r="G124" s="236"/>
    </row>
    <row r="125" spans="1:7" ht="18.75" hidden="1" thickBot="1" x14ac:dyDescent="0.45">
      <c r="A125" s="250" t="s">
        <v>14</v>
      </c>
      <c r="B125" s="25" t="s">
        <v>79</v>
      </c>
      <c r="C125" s="219">
        <v>51</v>
      </c>
      <c r="D125" s="220">
        <v>51</v>
      </c>
      <c r="E125" s="220">
        <v>53</v>
      </c>
      <c r="F125" s="220">
        <v>52</v>
      </c>
      <c r="G125" s="236"/>
    </row>
    <row r="126" spans="1:7" ht="18.75" hidden="1" thickBot="1" x14ac:dyDescent="0.45">
      <c r="A126" s="250" t="s">
        <v>15</v>
      </c>
      <c r="B126" s="25" t="s">
        <v>79</v>
      </c>
      <c r="C126" s="219">
        <v>121</v>
      </c>
      <c r="D126" s="220">
        <v>117</v>
      </c>
      <c r="E126" s="220">
        <v>124</v>
      </c>
      <c r="F126" s="220">
        <v>105</v>
      </c>
      <c r="G126" s="236"/>
    </row>
    <row r="127" spans="1:7" ht="18.75" hidden="1" thickBot="1" x14ac:dyDescent="0.45">
      <c r="A127" s="250" t="s">
        <v>16</v>
      </c>
      <c r="B127" s="25" t="s">
        <v>79</v>
      </c>
      <c r="C127" s="219">
        <v>158</v>
      </c>
      <c r="D127" s="220">
        <v>158</v>
      </c>
      <c r="E127" s="220">
        <v>163</v>
      </c>
      <c r="F127" s="220">
        <v>154</v>
      </c>
      <c r="G127" s="236"/>
    </row>
    <row r="128" spans="1:7" ht="18.75" hidden="1" thickBot="1" x14ac:dyDescent="0.45">
      <c r="A128" s="250" t="s">
        <v>17</v>
      </c>
      <c r="B128" s="25" t="s">
        <v>79</v>
      </c>
      <c r="C128" s="219">
        <v>53</v>
      </c>
      <c r="D128" s="220">
        <v>52</v>
      </c>
      <c r="E128" s="220">
        <v>54</v>
      </c>
      <c r="F128" s="220">
        <v>50</v>
      </c>
      <c r="G128" s="236"/>
    </row>
    <row r="129" spans="1:7" ht="18.75" hidden="1" thickBot="1" x14ac:dyDescent="0.45">
      <c r="A129" s="250" t="s">
        <v>18</v>
      </c>
      <c r="B129" s="25" t="s">
        <v>79</v>
      </c>
      <c r="C129" s="219">
        <v>154</v>
      </c>
      <c r="D129" s="220">
        <v>166</v>
      </c>
      <c r="E129" s="220">
        <v>161</v>
      </c>
      <c r="F129" s="220">
        <v>150</v>
      </c>
      <c r="G129" s="236"/>
    </row>
    <row r="130" spans="1:7" ht="18.75" hidden="1" thickBot="1" x14ac:dyDescent="0.45">
      <c r="A130" s="250" t="s">
        <v>19</v>
      </c>
      <c r="B130" s="25" t="s">
        <v>79</v>
      </c>
      <c r="C130" s="219">
        <v>334</v>
      </c>
      <c r="D130" s="220">
        <v>326</v>
      </c>
      <c r="E130" s="220">
        <v>332</v>
      </c>
      <c r="F130" s="220">
        <v>330</v>
      </c>
      <c r="G130" s="236"/>
    </row>
    <row r="131" spans="1:7" ht="18.75" hidden="1" thickBot="1" x14ac:dyDescent="0.45">
      <c r="A131" s="251" t="s">
        <v>20</v>
      </c>
      <c r="B131" s="25" t="s">
        <v>79</v>
      </c>
      <c r="C131" s="219">
        <v>107</v>
      </c>
      <c r="D131" s="220">
        <v>102</v>
      </c>
      <c r="E131" s="220">
        <v>101</v>
      </c>
      <c r="F131" s="220">
        <v>89</v>
      </c>
      <c r="G131" s="236"/>
    </row>
    <row r="132" spans="1:7" ht="18.75" hidden="1" thickBot="1" x14ac:dyDescent="0.45">
      <c r="A132" s="156" t="s">
        <v>88</v>
      </c>
      <c r="B132" s="100" t="s">
        <v>79</v>
      </c>
      <c r="C132" s="41">
        <f>SUM(C112:C131)</f>
        <v>2591</v>
      </c>
      <c r="D132" s="37">
        <f t="shared" ref="D132:F132" si="11">SUM(D112:D131)</f>
        <v>2519</v>
      </c>
      <c r="E132" s="37">
        <f t="shared" si="11"/>
        <v>2529</v>
      </c>
      <c r="F132" s="37">
        <f t="shared" si="11"/>
        <v>2350</v>
      </c>
      <c r="G132" s="241"/>
    </row>
    <row r="133" spans="1:7" ht="18.75" hidden="1" thickBot="1" x14ac:dyDescent="0.45">
      <c r="A133" s="156" t="s">
        <v>40</v>
      </c>
      <c r="B133" s="100" t="s">
        <v>79</v>
      </c>
      <c r="C133" s="141">
        <f>AVERAGE(C112:C131)</f>
        <v>129.55000000000001</v>
      </c>
      <c r="D133" s="142">
        <f t="shared" ref="D133:F133" si="12">AVERAGE(D112:D131)</f>
        <v>125.95</v>
      </c>
      <c r="E133" s="142">
        <f t="shared" si="12"/>
        <v>126.45</v>
      </c>
      <c r="F133" s="142">
        <f t="shared" si="12"/>
        <v>117.5</v>
      </c>
      <c r="G133" s="241"/>
    </row>
    <row r="134" spans="1:7" ht="18.75" hidden="1" thickBot="1" x14ac:dyDescent="0.45">
      <c r="A134" s="252" t="s">
        <v>41</v>
      </c>
      <c r="B134" s="146" t="s">
        <v>79</v>
      </c>
      <c r="C134" s="141">
        <f>MEDIAN(C112:C131)</f>
        <v>113</v>
      </c>
      <c r="D134" s="142">
        <f t="shared" ref="D134:F134" si="13">MEDIAN(D112:D131)</f>
        <v>109.5</v>
      </c>
      <c r="E134" s="142">
        <f t="shared" si="13"/>
        <v>108.5</v>
      </c>
      <c r="F134" s="142">
        <f t="shared" si="13"/>
        <v>103</v>
      </c>
      <c r="G134" s="241"/>
    </row>
    <row r="135" spans="1:7" ht="18.75" hidden="1" thickBot="1" x14ac:dyDescent="0.45">
      <c r="A135" s="249" t="s">
        <v>1</v>
      </c>
      <c r="B135" s="25" t="s">
        <v>80</v>
      </c>
      <c r="C135" s="223">
        <f>C112/C3</f>
        <v>0.13665943600867678</v>
      </c>
      <c r="D135" s="224">
        <f t="shared" ref="D135:F135" si="14">D112/D3</f>
        <v>0.13318657127132635</v>
      </c>
      <c r="E135" s="224">
        <f t="shared" si="14"/>
        <v>0.13038734315330061</v>
      </c>
      <c r="F135" s="224">
        <f t="shared" si="14"/>
        <v>0.12585034013605442</v>
      </c>
      <c r="G135" s="242"/>
    </row>
    <row r="136" spans="1:7" ht="18.75" hidden="1" thickBot="1" x14ac:dyDescent="0.45">
      <c r="A136" s="250" t="s">
        <v>2</v>
      </c>
      <c r="B136" s="25" t="s">
        <v>80</v>
      </c>
      <c r="C136" s="226">
        <f t="shared" ref="C136:F154" si="15">C113/C4</f>
        <v>0.10584677419354839</v>
      </c>
      <c r="D136" s="227">
        <f t="shared" si="15"/>
        <v>9.9182004089979556E-2</v>
      </c>
      <c r="E136" s="227">
        <f t="shared" si="15"/>
        <v>9.2999999999999999E-2</v>
      </c>
      <c r="F136" s="227">
        <f t="shared" si="15"/>
        <v>0.10575916230366492</v>
      </c>
      <c r="G136" s="236"/>
    </row>
    <row r="137" spans="1:7" ht="18.75" hidden="1" thickBot="1" x14ac:dyDescent="0.45">
      <c r="A137" s="250" t="s">
        <v>3</v>
      </c>
      <c r="B137" s="25" t="s">
        <v>80</v>
      </c>
      <c r="C137" s="226">
        <f t="shared" si="15"/>
        <v>0.12861271676300579</v>
      </c>
      <c r="D137" s="227">
        <f t="shared" si="15"/>
        <v>0.10656934306569343</v>
      </c>
      <c r="E137" s="227">
        <f t="shared" si="15"/>
        <v>0.10296191819464035</v>
      </c>
      <c r="F137" s="227">
        <f t="shared" si="15"/>
        <v>0.10903873744619799</v>
      </c>
      <c r="G137" s="236"/>
    </row>
    <row r="138" spans="1:7" ht="18.75" hidden="1" thickBot="1" x14ac:dyDescent="0.45">
      <c r="A138" s="250" t="s">
        <v>4</v>
      </c>
      <c r="B138" s="25" t="s">
        <v>80</v>
      </c>
      <c r="C138" s="226">
        <f t="shared" si="15"/>
        <v>0.13273001508295626</v>
      </c>
      <c r="D138" s="227">
        <f t="shared" si="15"/>
        <v>0.13570691434468524</v>
      </c>
      <c r="E138" s="227">
        <f t="shared" si="15"/>
        <v>0.1353152229625833</v>
      </c>
      <c r="F138" s="227">
        <f t="shared" si="15"/>
        <v>0.12782745923198316</v>
      </c>
      <c r="G138" s="236"/>
    </row>
    <row r="139" spans="1:7" ht="18.75" hidden="1" thickBot="1" x14ac:dyDescent="0.45">
      <c r="A139" s="250" t="s">
        <v>5</v>
      </c>
      <c r="B139" s="25" t="s">
        <v>80</v>
      </c>
      <c r="C139" s="226">
        <f t="shared" si="15"/>
        <v>4.8387096774193547E-2</v>
      </c>
      <c r="D139" s="227">
        <f t="shared" si="15"/>
        <v>4.4510385756676561E-2</v>
      </c>
      <c r="E139" s="227">
        <f t="shared" si="15"/>
        <v>4.5714285714285714E-2</v>
      </c>
      <c r="F139" s="227">
        <f t="shared" si="15"/>
        <v>4.2338709677419352E-2</v>
      </c>
      <c r="G139" s="236"/>
    </row>
    <row r="140" spans="1:7" ht="18.75" hidden="1" thickBot="1" x14ac:dyDescent="0.45">
      <c r="A140" s="250" t="s">
        <v>6</v>
      </c>
      <c r="B140" s="25" t="s">
        <v>80</v>
      </c>
      <c r="C140" s="226">
        <f t="shared" si="15"/>
        <v>5.1094890510948905E-2</v>
      </c>
      <c r="D140" s="227">
        <f t="shared" si="15"/>
        <v>5.4878048780487805E-2</v>
      </c>
      <c r="E140" s="227">
        <f t="shared" si="15"/>
        <v>5.4209919261822379E-2</v>
      </c>
      <c r="F140" s="227">
        <f t="shared" si="15"/>
        <v>5.5878928987194411E-2</v>
      </c>
      <c r="G140" s="236"/>
    </row>
    <row r="141" spans="1:7" ht="18.75" hidden="1" thickBot="1" x14ac:dyDescent="0.45">
      <c r="A141" s="250" t="s">
        <v>7</v>
      </c>
      <c r="B141" s="25" t="s">
        <v>80</v>
      </c>
      <c r="C141" s="226">
        <f t="shared" si="15"/>
        <v>0.28392484342379959</v>
      </c>
      <c r="D141" s="227">
        <f t="shared" si="15"/>
        <v>0.28242677824267781</v>
      </c>
      <c r="E141" s="227">
        <f t="shared" si="15"/>
        <v>0.26874999999999999</v>
      </c>
      <c r="F141" s="227">
        <f t="shared" si="15"/>
        <v>0.2662473794549266</v>
      </c>
      <c r="G141" s="236"/>
    </row>
    <row r="142" spans="1:7" ht="18.75" hidden="1" thickBot="1" x14ac:dyDescent="0.45">
      <c r="A142" s="250" t="s">
        <v>8</v>
      </c>
      <c r="B142" s="25" t="s">
        <v>80</v>
      </c>
      <c r="C142" s="226">
        <f t="shared" si="15"/>
        <v>9.5972153157633022E-2</v>
      </c>
      <c r="D142" s="227">
        <f t="shared" si="15"/>
        <v>9.0499999999999997E-2</v>
      </c>
      <c r="E142" s="227">
        <f t="shared" si="15"/>
        <v>9.4403892944038933E-2</v>
      </c>
      <c r="F142" s="227">
        <f t="shared" si="15"/>
        <v>7.9979090433873495E-2</v>
      </c>
      <c r="G142" s="236"/>
    </row>
    <row r="143" spans="1:7" ht="18.75" hidden="1" thickBot="1" x14ac:dyDescent="0.45">
      <c r="A143" s="250" t="s">
        <v>9</v>
      </c>
      <c r="B143" s="25" t="s">
        <v>80</v>
      </c>
      <c r="C143" s="226"/>
      <c r="D143" s="227"/>
      <c r="E143" s="227"/>
      <c r="F143" s="227"/>
      <c r="G143" s="236"/>
    </row>
    <row r="144" spans="1:7" ht="18.75" hidden="1" thickBot="1" x14ac:dyDescent="0.45">
      <c r="A144" s="250" t="s">
        <v>10</v>
      </c>
      <c r="B144" s="25" t="s">
        <v>80</v>
      </c>
      <c r="C144" s="226">
        <f t="shared" si="15"/>
        <v>8.6722195002449778E-2</v>
      </c>
      <c r="D144" s="227">
        <f t="shared" si="15"/>
        <v>8.2846003898635473E-2</v>
      </c>
      <c r="E144" s="227">
        <f t="shared" si="15"/>
        <v>8.180943214629452E-2</v>
      </c>
      <c r="F144" s="227">
        <f t="shared" si="15"/>
        <v>8.2035306334371755E-2</v>
      </c>
      <c r="G144" s="236"/>
    </row>
    <row r="145" spans="1:7" ht="18.75" hidden="1" thickBot="1" x14ac:dyDescent="0.45">
      <c r="A145" s="250" t="s">
        <v>11</v>
      </c>
      <c r="B145" s="25" t="s">
        <v>80</v>
      </c>
      <c r="C145" s="226">
        <f t="shared" si="15"/>
        <v>0.1036745406824147</v>
      </c>
      <c r="D145" s="227">
        <f t="shared" si="15"/>
        <v>0.1067193675889328</v>
      </c>
      <c r="E145" s="227">
        <f t="shared" si="15"/>
        <v>9.5730918499353168E-2</v>
      </c>
      <c r="F145" s="227">
        <f t="shared" si="15"/>
        <v>9.1655266757865936E-2</v>
      </c>
      <c r="G145" s="236"/>
    </row>
    <row r="146" spans="1:7" ht="18.75" hidden="1" thickBot="1" x14ac:dyDescent="0.45">
      <c r="A146" s="250" t="s">
        <v>12</v>
      </c>
      <c r="B146" s="25" t="s">
        <v>80</v>
      </c>
      <c r="C146" s="226">
        <f t="shared" si="15"/>
        <v>4.8007246376811592E-2</v>
      </c>
      <c r="D146" s="227">
        <f t="shared" si="15"/>
        <v>4.4721069617335178E-2</v>
      </c>
      <c r="E146" s="227">
        <f t="shared" si="15"/>
        <v>4.3139054612207434E-2</v>
      </c>
      <c r="F146" s="227">
        <f t="shared" si="15"/>
        <v>3.4811635670004767E-2</v>
      </c>
      <c r="G146" s="236"/>
    </row>
    <row r="147" spans="1:7" ht="18.75" hidden="1" thickBot="1" x14ac:dyDescent="0.45">
      <c r="A147" s="250" t="s">
        <v>13</v>
      </c>
      <c r="B147" s="25" t="s">
        <v>80</v>
      </c>
      <c r="C147" s="226">
        <f t="shared" si="15"/>
        <v>7.8807947019867555E-2</v>
      </c>
      <c r="D147" s="227">
        <f t="shared" si="15"/>
        <v>7.7529566360052565E-2</v>
      </c>
      <c r="E147" s="227">
        <f t="shared" si="15"/>
        <v>7.5718015665796348E-2</v>
      </c>
      <c r="F147" s="227">
        <f t="shared" si="15"/>
        <v>7.3726541554959779E-2</v>
      </c>
      <c r="G147" s="236"/>
    </row>
    <row r="148" spans="1:7" ht="18.75" hidden="1" thickBot="1" x14ac:dyDescent="0.45">
      <c r="A148" s="250" t="s">
        <v>14</v>
      </c>
      <c r="B148" s="25" t="s">
        <v>80</v>
      </c>
      <c r="C148" s="226">
        <f t="shared" si="15"/>
        <v>6.589147286821706E-2</v>
      </c>
      <c r="D148" s="227">
        <f t="shared" si="15"/>
        <v>6.8456375838926178E-2</v>
      </c>
      <c r="E148" s="227">
        <f t="shared" si="15"/>
        <v>6.8920676202860853E-2</v>
      </c>
      <c r="F148" s="227">
        <f t="shared" si="15"/>
        <v>6.8965517241379309E-2</v>
      </c>
      <c r="G148" s="236"/>
    </row>
    <row r="149" spans="1:7" ht="18.75" hidden="1" thickBot="1" x14ac:dyDescent="0.45">
      <c r="A149" s="250" t="s">
        <v>15</v>
      </c>
      <c r="B149" s="25" t="s">
        <v>80</v>
      </c>
      <c r="C149" s="226">
        <f t="shared" si="15"/>
        <v>9.497645211930926E-2</v>
      </c>
      <c r="D149" s="227">
        <f t="shared" si="15"/>
        <v>9.293089753772836E-2</v>
      </c>
      <c r="E149" s="227">
        <f t="shared" si="15"/>
        <v>9.657320872274143E-2</v>
      </c>
      <c r="F149" s="227">
        <f t="shared" si="15"/>
        <v>8.4745762711864403E-2</v>
      </c>
      <c r="G149" s="236"/>
    </row>
    <row r="150" spans="1:7" ht="18.75" hidden="1" thickBot="1" x14ac:dyDescent="0.45">
      <c r="A150" s="250" t="s">
        <v>16</v>
      </c>
      <c r="B150" s="25" t="s">
        <v>80</v>
      </c>
      <c r="C150" s="226">
        <f t="shared" si="15"/>
        <v>0.10618279569892473</v>
      </c>
      <c r="D150" s="227">
        <f t="shared" si="15"/>
        <v>0.10540360240160107</v>
      </c>
      <c r="E150" s="227">
        <f t="shared" si="15"/>
        <v>0.10976430976430976</v>
      </c>
      <c r="F150" s="227">
        <f t="shared" si="15"/>
        <v>0.10929737402413059</v>
      </c>
      <c r="G150" s="236"/>
    </row>
    <row r="151" spans="1:7" ht="18.75" hidden="1" thickBot="1" x14ac:dyDescent="0.45">
      <c r="A151" s="250" t="s">
        <v>17</v>
      </c>
      <c r="B151" s="25" t="s">
        <v>80</v>
      </c>
      <c r="C151" s="226">
        <f t="shared" si="15"/>
        <v>7.9939668174962286E-2</v>
      </c>
      <c r="D151" s="227">
        <f t="shared" si="15"/>
        <v>7.9632465543644712E-2</v>
      </c>
      <c r="E151" s="227">
        <f t="shared" si="15"/>
        <v>8.1081081081081086E-2</v>
      </c>
      <c r="F151" s="227">
        <f t="shared" si="15"/>
        <v>7.5187969924812026E-2</v>
      </c>
      <c r="G151" s="236"/>
    </row>
    <row r="152" spans="1:7" ht="18.75" hidden="1" thickBot="1" x14ac:dyDescent="0.45">
      <c r="A152" s="250" t="s">
        <v>18</v>
      </c>
      <c r="B152" s="25" t="s">
        <v>80</v>
      </c>
      <c r="C152" s="226">
        <f t="shared" si="15"/>
        <v>0.12737799834574029</v>
      </c>
      <c r="D152" s="227">
        <f t="shared" si="15"/>
        <v>0.13628899835796388</v>
      </c>
      <c r="E152" s="227">
        <f t="shared" si="15"/>
        <v>0.12900641025641027</v>
      </c>
      <c r="F152" s="227">
        <f t="shared" si="15"/>
        <v>0.1236603462489695</v>
      </c>
      <c r="G152" s="236"/>
    </row>
    <row r="153" spans="1:7" ht="18.75" hidden="1" thickBot="1" x14ac:dyDescent="0.45">
      <c r="A153" s="250" t="s">
        <v>19</v>
      </c>
      <c r="B153" s="25" t="s">
        <v>80</v>
      </c>
      <c r="C153" s="226">
        <f t="shared" si="15"/>
        <v>6.5119906414505754E-2</v>
      </c>
      <c r="D153" s="227">
        <f t="shared" si="15"/>
        <v>6.3387128135329568E-2</v>
      </c>
      <c r="E153" s="227">
        <f t="shared" si="15"/>
        <v>6.321401370906321E-2</v>
      </c>
      <c r="F153" s="227">
        <f t="shared" si="15"/>
        <v>6.5024630541871922E-2</v>
      </c>
      <c r="G153" s="236"/>
    </row>
    <row r="154" spans="1:7" ht="18.75" hidden="1" thickBot="1" x14ac:dyDescent="0.45">
      <c r="A154" s="251" t="s">
        <v>20</v>
      </c>
      <c r="B154" s="25" t="s">
        <v>80</v>
      </c>
      <c r="C154" s="226">
        <f t="shared" si="15"/>
        <v>7.1049136786188585E-2</v>
      </c>
      <c r="D154" s="227">
        <f t="shared" si="15"/>
        <v>6.8548387096774188E-2</v>
      </c>
      <c r="E154" s="227">
        <f t="shared" si="15"/>
        <v>6.6622691292875985E-2</v>
      </c>
      <c r="F154" s="227">
        <f t="shared" si="15"/>
        <v>5.9175531914893616E-2</v>
      </c>
      <c r="G154" s="236"/>
    </row>
    <row r="155" spans="1:7" ht="18.75" hidden="1" thickBot="1" x14ac:dyDescent="0.45">
      <c r="A155" s="156" t="s">
        <v>89</v>
      </c>
      <c r="B155" s="100" t="s">
        <v>80</v>
      </c>
      <c r="C155" s="232">
        <f>SUM(C135:C154)</f>
        <v>1.9109772854041538</v>
      </c>
      <c r="D155" s="233">
        <f>SUM(D135:D154)</f>
        <v>1.8734239079284507</v>
      </c>
      <c r="E155" s="233">
        <f t="shared" ref="E155:F155" si="16">SUM(E135:E154)</f>
        <v>1.8363223941836657</v>
      </c>
      <c r="F155" s="233">
        <f t="shared" si="16"/>
        <v>1.781205690596438</v>
      </c>
      <c r="G155" s="241"/>
    </row>
    <row r="156" spans="1:7" ht="18.75" hidden="1" thickBot="1" x14ac:dyDescent="0.45">
      <c r="A156" s="156" t="s">
        <v>40</v>
      </c>
      <c r="B156" s="100" t="s">
        <v>80</v>
      </c>
      <c r="C156" s="232">
        <f>AVERAGE(C135:C154)</f>
        <v>0.10057775186337652</v>
      </c>
      <c r="D156" s="233">
        <f t="shared" ref="D156:F156" si="17">AVERAGE(D135:D154)</f>
        <v>9.8601258312023723E-2</v>
      </c>
      <c r="E156" s="233">
        <f t="shared" si="17"/>
        <v>9.6648547062298196E-2</v>
      </c>
      <c r="F156" s="233">
        <f t="shared" si="17"/>
        <v>9.374766792612832E-2</v>
      </c>
      <c r="G156" s="241"/>
    </row>
    <row r="157" spans="1:7" ht="18.75" hidden="1" thickBot="1" x14ac:dyDescent="0.45">
      <c r="A157" s="156" t="s">
        <v>41</v>
      </c>
      <c r="B157" s="100" t="s">
        <v>80</v>
      </c>
      <c r="C157" s="232">
        <f>MEDIAN(C135:C154)</f>
        <v>9.497645211930926E-2</v>
      </c>
      <c r="D157" s="233">
        <f t="shared" ref="D157:F157" si="18">MEDIAN(D135:D154)</f>
        <v>9.0499999999999997E-2</v>
      </c>
      <c r="E157" s="233">
        <f t="shared" si="18"/>
        <v>9.2999999999999999E-2</v>
      </c>
      <c r="F157" s="233">
        <f t="shared" si="18"/>
        <v>8.2035306334371755E-2</v>
      </c>
      <c r="G157" s="241"/>
    </row>
    <row r="158" spans="1:7" ht="18.75" hidden="1" thickBot="1" x14ac:dyDescent="0.45">
      <c r="A158" s="68" t="s">
        <v>1</v>
      </c>
      <c r="B158" s="213" t="s">
        <v>81</v>
      </c>
      <c r="C158" s="62">
        <f>C112/'DADES GENERALS'!C3*1000</f>
        <v>8.4817071118440985</v>
      </c>
      <c r="D158" s="63">
        <f>D112/'DADES GENERALS'!D3*1000</f>
        <v>8.1621639852946135</v>
      </c>
      <c r="E158" s="63">
        <f>E112/'DADES GENERALS'!E3*1000</f>
        <v>8.0915461962961697</v>
      </c>
      <c r="F158" s="63">
        <f>F112/'DADES GENERALS'!F3*1000</f>
        <v>7.4434199497066222</v>
      </c>
      <c r="G158" s="242"/>
    </row>
    <row r="159" spans="1:7" ht="18.75" hidden="1" thickBot="1" x14ac:dyDescent="0.45">
      <c r="A159" s="69" t="s">
        <v>2</v>
      </c>
      <c r="B159" s="15" t="s">
        <v>81</v>
      </c>
      <c r="C159" s="55">
        <f>C113/'DADES GENERALS'!C4*1000</f>
        <v>6.334077336068046</v>
      </c>
      <c r="D159" s="56">
        <f>D113/'DADES GENERALS'!D4*1000</f>
        <v>5.8272257599423289</v>
      </c>
      <c r="E159" s="56">
        <f>E113/'DADES GENERALS'!E4*1000</f>
        <v>5.520926090828139</v>
      </c>
      <c r="F159" s="56">
        <f>F113/'DADES GENERALS'!F4*1000</f>
        <v>5.9328007518796992</v>
      </c>
      <c r="G159" s="236"/>
    </row>
    <row r="160" spans="1:7" ht="18.75" hidden="1" thickBot="1" x14ac:dyDescent="0.45">
      <c r="A160" s="69" t="s">
        <v>3</v>
      </c>
      <c r="B160" s="15" t="s">
        <v>81</v>
      </c>
      <c r="C160" s="55">
        <f>C114/'DADES GENERALS'!C5*1000</f>
        <v>8.7289132993330725</v>
      </c>
      <c r="D160" s="56">
        <f>D114/'DADES GENERALS'!D5*1000</f>
        <v>7.1108513539840246</v>
      </c>
      <c r="E160" s="56">
        <f>E114/'DADES GENERALS'!E5*1000</f>
        <v>7.0219315121200463</v>
      </c>
      <c r="F160" s="56">
        <f>F114/'DADES GENERALS'!F5*1000</f>
        <v>7.1867612293144205</v>
      </c>
      <c r="G160" s="236"/>
    </row>
    <row r="161" spans="1:7" ht="18.75" hidden="1" thickBot="1" x14ac:dyDescent="0.45">
      <c r="A161" s="69" t="s">
        <v>4</v>
      </c>
      <c r="B161" s="15" t="s">
        <v>81</v>
      </c>
      <c r="C161" s="55">
        <f>C115/'DADES GENERALS'!C6*1000</f>
        <v>8.1977394112532593</v>
      </c>
      <c r="D161" s="56">
        <f>D115/'DADES GENERALS'!D6*1000</f>
        <v>8.1391390462043152</v>
      </c>
      <c r="E161" s="56">
        <f>E115/'DADES GENERALS'!E6*1000</f>
        <v>8.0842724154826069</v>
      </c>
      <c r="F161" s="56">
        <f>F115/'DADES GENERALS'!F6*1000</f>
        <v>7.2806807286673054</v>
      </c>
      <c r="G161" s="236"/>
    </row>
    <row r="162" spans="1:7" ht="18.75" hidden="1" thickBot="1" x14ac:dyDescent="0.45">
      <c r="A162" s="69" t="s">
        <v>5</v>
      </c>
      <c r="B162" s="15" t="s">
        <v>81</v>
      </c>
      <c r="C162" s="55">
        <f>C116/'DADES GENERALS'!C7*1000</f>
        <v>2.3250512878960565</v>
      </c>
      <c r="D162" s="56">
        <f>D116/'DADES GENERALS'!D7*1000</f>
        <v>2.1013308428671493</v>
      </c>
      <c r="E162" s="56">
        <f>E116/'DADES GENERALS'!E7*1000</f>
        <v>2.2346368715083798</v>
      </c>
      <c r="F162" s="56">
        <f>F116/'DADES GENERALS'!F7*1000</f>
        <v>1.9196489784725077</v>
      </c>
      <c r="G162" s="236"/>
    </row>
    <row r="163" spans="1:7" ht="18.75" hidden="1" thickBot="1" x14ac:dyDescent="0.45">
      <c r="A163" s="69" t="s">
        <v>6</v>
      </c>
      <c r="B163" s="15" t="s">
        <v>81</v>
      </c>
      <c r="C163" s="55">
        <f>C117/'DADES GENERALS'!C8*1000</f>
        <v>2.8</v>
      </c>
      <c r="D163" s="56">
        <f>D117/'DADES GENERALS'!D8*1000</f>
        <v>2.9163966299416719</v>
      </c>
      <c r="E163" s="56">
        <f>E117/'DADES GENERALS'!E8*1000</f>
        <v>3.0336280901052088</v>
      </c>
      <c r="F163" s="56">
        <f>F117/'DADES GENERALS'!F8*1000</f>
        <v>2.6847139101739472</v>
      </c>
      <c r="G163" s="236"/>
    </row>
    <row r="164" spans="1:7" ht="18.75" hidden="1" thickBot="1" x14ac:dyDescent="0.45">
      <c r="A164" s="69" t="s">
        <v>7</v>
      </c>
      <c r="B164" s="15" t="s">
        <v>81</v>
      </c>
      <c r="C164" s="55">
        <f>C118/'DADES GENERALS'!C9*1000</f>
        <v>67.493796526054595</v>
      </c>
      <c r="D164" s="56">
        <f>D118/'DADES GENERALS'!D9*1000</f>
        <v>66.699604743083</v>
      </c>
      <c r="E164" s="56">
        <f>E118/'DADES GENERALS'!E9*1000</f>
        <v>63.861386138613859</v>
      </c>
      <c r="F164" s="56">
        <f>F118/'DADES GENERALS'!F9*1000</f>
        <v>61.234329797492769</v>
      </c>
      <c r="G164" s="236"/>
    </row>
    <row r="165" spans="1:7" ht="18.75" hidden="1" thickBot="1" x14ac:dyDescent="0.45">
      <c r="A165" s="69" t="s">
        <v>8</v>
      </c>
      <c r="B165" s="15" t="s">
        <v>81</v>
      </c>
      <c r="C165" s="55">
        <f>C119/'DADES GENERALS'!C10*1000</f>
        <v>6.7463646532438482</v>
      </c>
      <c r="D165" s="56">
        <f>D119/'DADES GENERALS'!D10*1000</f>
        <v>6.3488722859447897</v>
      </c>
      <c r="E165" s="56">
        <f>E119/'DADES GENERALS'!E10*1000</f>
        <v>6.7645315387565814</v>
      </c>
      <c r="F165" s="56">
        <f>F119/'DADES GENERALS'!F10*1000</f>
        <v>5.2189930413426113</v>
      </c>
      <c r="G165" s="236"/>
    </row>
    <row r="166" spans="1:7" ht="18.75" hidden="1" thickBot="1" x14ac:dyDescent="0.45">
      <c r="A166" s="69" t="s">
        <v>9</v>
      </c>
      <c r="B166" s="15" t="s">
        <v>81</v>
      </c>
      <c r="C166" s="55">
        <f>C120/'DADES GENERALS'!C11*1000</f>
        <v>0</v>
      </c>
      <c r="D166" s="56">
        <f>D120/'DADES GENERALS'!D11*1000</f>
        <v>0</v>
      </c>
      <c r="E166" s="56">
        <f>E120/'DADES GENERALS'!E11*1000</f>
        <v>0</v>
      </c>
      <c r="F166" s="56">
        <f>F120/'DADES GENERALS'!F11*1000</f>
        <v>0</v>
      </c>
      <c r="G166" s="236"/>
    </row>
    <row r="167" spans="1:7" ht="18.75" hidden="1" thickBot="1" x14ac:dyDescent="0.45">
      <c r="A167" s="69" t="s">
        <v>10</v>
      </c>
      <c r="B167" s="15" t="s">
        <v>81</v>
      </c>
      <c r="C167" s="55">
        <f>C121/'DADES GENERALS'!C12*1000</f>
        <v>5.6658130601792571</v>
      </c>
      <c r="D167" s="56">
        <f>D121/'DADES GENERALS'!D12*1000</f>
        <v>5.4335666570780194</v>
      </c>
      <c r="E167" s="56">
        <f>E121/'DADES GENERALS'!E12*1000</f>
        <v>5.4539621430863008</v>
      </c>
      <c r="F167" s="56">
        <f>F121/'DADES GENERALS'!F12*1000</f>
        <v>5.0042758052766603</v>
      </c>
      <c r="G167" s="236"/>
    </row>
    <row r="168" spans="1:7" ht="18.75" hidden="1" thickBot="1" x14ac:dyDescent="0.45">
      <c r="A168" s="69" t="s">
        <v>11</v>
      </c>
      <c r="B168" s="15" t="s">
        <v>81</v>
      </c>
      <c r="C168" s="55">
        <f>C122/'DADES GENERALS'!C13*1000</f>
        <v>8.0760580658352072</v>
      </c>
      <c r="D168" s="56">
        <f>D122/'DADES GENERALS'!D13*1000</f>
        <v>8.2275266632808535</v>
      </c>
      <c r="E168" s="56">
        <f>E122/'DADES GENERALS'!E13*1000</f>
        <v>7.4529157014805119</v>
      </c>
      <c r="F168" s="56">
        <f>F122/'DADES GENERALS'!F13*1000</f>
        <v>6.6035876207372359</v>
      </c>
      <c r="G168" s="236"/>
    </row>
    <row r="169" spans="1:7" ht="18.75" hidden="1" thickBot="1" x14ac:dyDescent="0.45">
      <c r="A169" s="69" t="s">
        <v>12</v>
      </c>
      <c r="B169" s="15" t="s">
        <v>81</v>
      </c>
      <c r="C169" s="55">
        <f>C123/'DADES GENERALS'!C14*1000</f>
        <v>2.3916967509025273</v>
      </c>
      <c r="D169" s="56">
        <f>D123/'DADES GENERALS'!D14*1000</f>
        <v>2.1886281588447654</v>
      </c>
      <c r="E169" s="56">
        <f>E123/'DADES GENERALS'!E14*1000</f>
        <v>2.1227586829863148</v>
      </c>
      <c r="F169" s="56">
        <f>F123/'DADES GENERALS'!F14*1000</f>
        <v>1.5993339759880816</v>
      </c>
      <c r="G169" s="236"/>
    </row>
    <row r="170" spans="1:7" ht="18.75" hidden="1" thickBot="1" x14ac:dyDescent="0.45">
      <c r="A170" s="69" t="s">
        <v>13</v>
      </c>
      <c r="B170" s="15" t="s">
        <v>81</v>
      </c>
      <c r="C170" s="55">
        <f>C124/'DADES GENERALS'!C15*1000</f>
        <v>4.4881949158934908</v>
      </c>
      <c r="D170" s="56">
        <f>D124/'DADES GENERALS'!D15*1000</f>
        <v>4.4695276694064621</v>
      </c>
      <c r="E170" s="56">
        <f>E124/'DADES GENERALS'!E15*1000</f>
        <v>4.3663191177024121</v>
      </c>
      <c r="F170" s="56">
        <f>F124/'DADES GENERALS'!F15*1000</f>
        <v>4.0464979399646852</v>
      </c>
      <c r="G170" s="236"/>
    </row>
    <row r="171" spans="1:7" ht="18.75" hidden="1" thickBot="1" x14ac:dyDescent="0.45">
      <c r="A171" s="69" t="s">
        <v>14</v>
      </c>
      <c r="B171" s="15" t="s">
        <v>81</v>
      </c>
      <c r="C171" s="55">
        <f>C125/'DADES GENERALS'!C16*1000</f>
        <v>4.394278821299328</v>
      </c>
      <c r="D171" s="56">
        <f>D125/'DADES GENERALS'!D16*1000</f>
        <v>4.3619568936024633</v>
      </c>
      <c r="E171" s="56">
        <f>E125/'DADES GENERALS'!E16*1000</f>
        <v>4.5435062151735961</v>
      </c>
      <c r="F171" s="56">
        <f>F125/'DADES GENERALS'!F16*1000</f>
        <v>4.4217687074829932</v>
      </c>
      <c r="G171" s="236"/>
    </row>
    <row r="172" spans="1:7" ht="18.75" hidden="1" thickBot="1" x14ac:dyDescent="0.45">
      <c r="A172" s="69" t="s">
        <v>15</v>
      </c>
      <c r="B172" s="15" t="s">
        <v>81</v>
      </c>
      <c r="C172" s="55">
        <f>C126/'DADES GENERALS'!C17*1000</f>
        <v>5.6906363166063114</v>
      </c>
      <c r="D172" s="56">
        <f>D126/'DADES GENERALS'!D17*1000</f>
        <v>5.4451528831386424</v>
      </c>
      <c r="E172" s="56">
        <f>E126/'DADES GENERALS'!E17*1000</f>
        <v>5.698267542851891</v>
      </c>
      <c r="F172" s="56">
        <f>F126/'DADES GENERALS'!F17*1000</f>
        <v>4.7220723151645982</v>
      </c>
      <c r="G172" s="236"/>
    </row>
    <row r="173" spans="1:7" ht="18.75" hidden="1" thickBot="1" x14ac:dyDescent="0.45">
      <c r="A173" s="69" t="s">
        <v>16</v>
      </c>
      <c r="B173" s="15" t="s">
        <v>81</v>
      </c>
      <c r="C173" s="55">
        <f>C127/'DADES GENERALS'!C18*1000</f>
        <v>6.3043651743675682</v>
      </c>
      <c r="D173" s="56">
        <f>D127/'DADES GENERALS'!D18*1000</f>
        <v>6.3111643698821647</v>
      </c>
      <c r="E173" s="56">
        <f>E127/'DADES GENERALS'!E18*1000</f>
        <v>6.4767354074780465</v>
      </c>
      <c r="F173" s="56">
        <f>F127/'DADES GENERALS'!F18*1000</f>
        <v>6.0179757717858537</v>
      </c>
      <c r="G173" s="236"/>
    </row>
    <row r="174" spans="1:7" ht="18.75" hidden="1" thickBot="1" x14ac:dyDescent="0.45">
      <c r="A174" s="69" t="s">
        <v>17</v>
      </c>
      <c r="B174" s="15" t="s">
        <v>81</v>
      </c>
      <c r="C174" s="55">
        <f>C128/'DADES GENERALS'!C19*1000</f>
        <v>5.1005677990568765</v>
      </c>
      <c r="D174" s="56">
        <f>D128/'DADES GENERALS'!D19*1000</f>
        <v>5.0270688321732413</v>
      </c>
      <c r="E174" s="56">
        <f>E128/'DADES GENERALS'!E19*1000</f>
        <v>5.2178954488356366</v>
      </c>
      <c r="F174" s="56">
        <f>F128/'DADES GENERALS'!F19*1000</f>
        <v>4.7005734699633352</v>
      </c>
      <c r="G174" s="236"/>
    </row>
    <row r="175" spans="1:7" ht="18.75" hidden="1" thickBot="1" x14ac:dyDescent="0.45">
      <c r="A175" s="69" t="s">
        <v>18</v>
      </c>
      <c r="B175" s="15" t="s">
        <v>81</v>
      </c>
      <c r="C175" s="55">
        <f>C129/'DADES GENERALS'!C20*1000</f>
        <v>8.0721249606877024</v>
      </c>
      <c r="D175" s="56">
        <f>D129/'DADES GENERALS'!D20*1000</f>
        <v>8.6408828275467169</v>
      </c>
      <c r="E175" s="56">
        <f>E129/'DADES GENERALS'!E20*1000</f>
        <v>8.3428334542439622</v>
      </c>
      <c r="F175" s="56">
        <f>F129/'DADES GENERALS'!F20*1000</f>
        <v>7.6207895137936292</v>
      </c>
      <c r="G175" s="236"/>
    </row>
    <row r="176" spans="1:7" ht="18.75" hidden="1" thickBot="1" x14ac:dyDescent="0.45">
      <c r="A176" s="69" t="s">
        <v>19</v>
      </c>
      <c r="B176" s="15" t="s">
        <v>81</v>
      </c>
      <c r="C176" s="55">
        <f>C130/'DADES GENERALS'!C21*1000</f>
        <v>3.9779900431147426</v>
      </c>
      <c r="D176" s="56">
        <f>D130/'DADES GENERALS'!D21*1000</f>
        <v>3.8797976792621243</v>
      </c>
      <c r="E176" s="56">
        <f>E130/'DADES GENERALS'!E21*1000</f>
        <v>3.8993681144441052</v>
      </c>
      <c r="F176" s="56">
        <f>F130/'DADES GENERALS'!F21*1000</f>
        <v>3.7802852397044502</v>
      </c>
      <c r="G176" s="236"/>
    </row>
    <row r="177" spans="1:7" ht="18.75" hidden="1" thickBot="1" x14ac:dyDescent="0.45">
      <c r="A177" s="70" t="s">
        <v>20</v>
      </c>
      <c r="B177" s="243" t="s">
        <v>81</v>
      </c>
      <c r="C177" s="59">
        <f>C131/'DADES GENERALS'!C22*1000</f>
        <v>3.5433983508295528</v>
      </c>
      <c r="D177" s="60">
        <f>D131/'DADES GENERALS'!D22*1000</f>
        <v>3.3765889830508478</v>
      </c>
      <c r="E177" s="60">
        <f>E131/'DADES GENERALS'!E22*1000</f>
        <v>3.330475499571325</v>
      </c>
      <c r="F177" s="60">
        <f>F131/'DADES GENERALS'!F22*1000</f>
        <v>2.8944030700185372</v>
      </c>
      <c r="G177" s="237"/>
    </row>
    <row r="178" spans="1:7" ht="18.75" hidden="1" thickBot="1" x14ac:dyDescent="0.45">
      <c r="A178" s="249" t="s">
        <v>1</v>
      </c>
      <c r="B178" s="25" t="s">
        <v>82</v>
      </c>
      <c r="C178" s="223">
        <v>0.14099999999999999</v>
      </c>
      <c r="D178" s="224">
        <v>0.15260000000000001</v>
      </c>
      <c r="E178" s="224">
        <v>0.12939999999999999</v>
      </c>
      <c r="F178" s="224">
        <v>0.123</v>
      </c>
      <c r="G178" s="225">
        <v>0.1105</v>
      </c>
    </row>
    <row r="179" spans="1:7" ht="18.75" hidden="1" thickBot="1" x14ac:dyDescent="0.45">
      <c r="A179" s="250" t="s">
        <v>2</v>
      </c>
      <c r="B179" s="25" t="s">
        <v>82</v>
      </c>
      <c r="C179" s="226">
        <v>0.12479999999999999</v>
      </c>
      <c r="D179" s="227">
        <v>0.1336</v>
      </c>
      <c r="E179" s="227">
        <v>0.1124</v>
      </c>
      <c r="F179" s="227">
        <v>0.10249999999999999</v>
      </c>
      <c r="G179" s="228">
        <v>9.6199999999999994E-2</v>
      </c>
    </row>
    <row r="180" spans="1:7" ht="18.75" hidden="1" thickBot="1" x14ac:dyDescent="0.45">
      <c r="A180" s="250" t="s">
        <v>3</v>
      </c>
      <c r="B180" s="25" t="s">
        <v>82</v>
      </c>
      <c r="C180" s="226">
        <v>0.1074</v>
      </c>
      <c r="D180" s="227">
        <v>0.1207</v>
      </c>
      <c r="E180" s="227">
        <v>9.2299999999999993E-2</v>
      </c>
      <c r="F180" s="227">
        <v>8.77E-2</v>
      </c>
      <c r="G180" s="228">
        <v>8.2600000000000007E-2</v>
      </c>
    </row>
    <row r="181" spans="1:7" ht="18.75" hidden="1" thickBot="1" x14ac:dyDescent="0.45">
      <c r="A181" s="250" t="s">
        <v>4</v>
      </c>
      <c r="B181" s="25" t="s">
        <v>82</v>
      </c>
      <c r="C181" s="226">
        <v>0.1298</v>
      </c>
      <c r="D181" s="227">
        <v>0.14180000000000001</v>
      </c>
      <c r="E181" s="227">
        <v>0.12239999999999999</v>
      </c>
      <c r="F181" s="227">
        <v>0.1108</v>
      </c>
      <c r="G181" s="228">
        <v>9.9900000000000003E-2</v>
      </c>
    </row>
    <row r="182" spans="1:7" ht="18.75" hidden="1" thickBot="1" x14ac:dyDescent="0.45">
      <c r="A182" s="250" t="s">
        <v>5</v>
      </c>
      <c r="B182" s="25" t="s">
        <v>82</v>
      </c>
      <c r="C182" s="226">
        <v>0.15959999999999999</v>
      </c>
      <c r="D182" s="227">
        <v>0.17430000000000001</v>
      </c>
      <c r="E182" s="227">
        <v>0.1386</v>
      </c>
      <c r="F182" s="227">
        <v>0.13089999999999999</v>
      </c>
      <c r="G182" s="228">
        <v>0.1201</v>
      </c>
    </row>
    <row r="183" spans="1:7" ht="18.75" hidden="1" thickBot="1" x14ac:dyDescent="0.45">
      <c r="A183" s="250" t="s">
        <v>6</v>
      </c>
      <c r="B183" s="25" t="s">
        <v>82</v>
      </c>
      <c r="C183" s="226">
        <v>0.1429</v>
      </c>
      <c r="D183" s="227">
        <v>0.15110000000000001</v>
      </c>
      <c r="E183" s="227">
        <v>0.1181</v>
      </c>
      <c r="F183" s="227">
        <v>0.1108</v>
      </c>
      <c r="G183" s="228">
        <v>0.1038</v>
      </c>
    </row>
    <row r="184" spans="1:7" ht="18.75" hidden="1" thickBot="1" x14ac:dyDescent="0.45">
      <c r="A184" s="250" t="s">
        <v>7</v>
      </c>
      <c r="B184" s="25" t="s">
        <v>82</v>
      </c>
      <c r="C184" s="226">
        <v>0.13189999999999999</v>
      </c>
      <c r="D184" s="227">
        <v>0.12590000000000001</v>
      </c>
      <c r="E184" s="227">
        <v>0.1071</v>
      </c>
      <c r="F184" s="227">
        <v>0.1024</v>
      </c>
      <c r="G184" s="228">
        <v>8.09E-2</v>
      </c>
    </row>
    <row r="185" spans="1:7" ht="18.75" hidden="1" thickBot="1" x14ac:dyDescent="0.45">
      <c r="A185" s="250" t="s">
        <v>8</v>
      </c>
      <c r="B185" s="25" t="s">
        <v>82</v>
      </c>
      <c r="C185" s="226">
        <v>0.13070000000000001</v>
      </c>
      <c r="D185" s="227">
        <v>0.1406</v>
      </c>
      <c r="E185" s="227">
        <v>0.1142</v>
      </c>
      <c r="F185" s="227">
        <v>0.1079</v>
      </c>
      <c r="G185" s="228">
        <v>9.9400000000000002E-2</v>
      </c>
    </row>
    <row r="186" spans="1:7" ht="18.75" hidden="1" thickBot="1" x14ac:dyDescent="0.45">
      <c r="A186" s="250" t="s">
        <v>9</v>
      </c>
      <c r="B186" s="25" t="s">
        <v>82</v>
      </c>
      <c r="C186" s="226">
        <v>0.12659999999999999</v>
      </c>
      <c r="D186" s="227">
        <v>0.1807</v>
      </c>
      <c r="E186" s="227">
        <v>0.13950000000000001</v>
      </c>
      <c r="F186" s="227">
        <v>0.1169</v>
      </c>
      <c r="G186" s="228">
        <v>8.9899999999999994E-2</v>
      </c>
    </row>
    <row r="187" spans="1:7" ht="18.75" hidden="1" thickBot="1" x14ac:dyDescent="0.45">
      <c r="A187" s="250" t="s">
        <v>10</v>
      </c>
      <c r="B187" s="25" t="s">
        <v>82</v>
      </c>
      <c r="C187" s="226">
        <v>0.1416</v>
      </c>
      <c r="D187" s="227">
        <v>0.15490000000000001</v>
      </c>
      <c r="E187" s="227">
        <v>0.1255</v>
      </c>
      <c r="F187" s="227">
        <v>0.1187</v>
      </c>
      <c r="G187" s="228">
        <v>0.1149</v>
      </c>
    </row>
    <row r="188" spans="1:7" ht="18.75" hidden="1" thickBot="1" x14ac:dyDescent="0.45">
      <c r="A188" s="250" t="s">
        <v>11</v>
      </c>
      <c r="B188" s="25" t="s">
        <v>82</v>
      </c>
      <c r="C188" s="226">
        <v>0.12139999999999999</v>
      </c>
      <c r="D188" s="227">
        <v>0.13070000000000001</v>
      </c>
      <c r="E188" s="227">
        <v>0.1032</v>
      </c>
      <c r="F188" s="227">
        <v>0.1023</v>
      </c>
      <c r="G188" s="228">
        <v>9.2499999999999999E-2</v>
      </c>
    </row>
    <row r="189" spans="1:7" ht="18.75" hidden="1" thickBot="1" x14ac:dyDescent="0.45">
      <c r="A189" s="250" t="s">
        <v>12</v>
      </c>
      <c r="B189" s="25" t="s">
        <v>82</v>
      </c>
      <c r="C189" s="226">
        <v>0.12820000000000001</v>
      </c>
      <c r="D189" s="227">
        <v>0.14119999999999999</v>
      </c>
      <c r="E189" s="227">
        <v>0.11409999999999999</v>
      </c>
      <c r="F189" s="227">
        <v>0.1076</v>
      </c>
      <c r="G189" s="228">
        <v>9.74E-2</v>
      </c>
    </row>
    <row r="190" spans="1:7" ht="18.75" hidden="1" thickBot="1" x14ac:dyDescent="0.45">
      <c r="A190" s="250" t="s">
        <v>13</v>
      </c>
      <c r="B190" s="25" t="s">
        <v>82</v>
      </c>
      <c r="C190" s="226">
        <v>0.1211</v>
      </c>
      <c r="D190" s="227">
        <v>0.127</v>
      </c>
      <c r="E190" s="227">
        <v>0.10580000000000001</v>
      </c>
      <c r="F190" s="227">
        <v>9.74E-2</v>
      </c>
      <c r="G190" s="228">
        <v>9.0700000000000003E-2</v>
      </c>
    </row>
    <row r="191" spans="1:7" ht="18.75" hidden="1" thickBot="1" x14ac:dyDescent="0.45">
      <c r="A191" s="250" t="s">
        <v>14</v>
      </c>
      <c r="B191" s="25" t="s">
        <v>82</v>
      </c>
      <c r="C191" s="226">
        <v>9.2899999999999996E-2</v>
      </c>
      <c r="D191" s="227">
        <v>0.1017</v>
      </c>
      <c r="E191" s="227">
        <v>8.3299999999999999E-2</v>
      </c>
      <c r="F191" s="227">
        <v>8.0299999999999996E-2</v>
      </c>
      <c r="G191" s="228">
        <v>7.8399999999999997E-2</v>
      </c>
    </row>
    <row r="192" spans="1:7" ht="18.75" hidden="1" thickBot="1" x14ac:dyDescent="0.45">
      <c r="A192" s="250" t="s">
        <v>15</v>
      </c>
      <c r="B192" s="25" t="s">
        <v>82</v>
      </c>
      <c r="C192" s="226">
        <v>0.1154</v>
      </c>
      <c r="D192" s="227">
        <v>0.13100000000000001</v>
      </c>
      <c r="E192" s="227">
        <v>0.1074</v>
      </c>
      <c r="F192" s="227">
        <v>9.8599999999999993E-2</v>
      </c>
      <c r="G192" s="228">
        <v>9.8400000000000001E-2</v>
      </c>
    </row>
    <row r="193" spans="1:7" ht="18.75" hidden="1" thickBot="1" x14ac:dyDescent="0.45">
      <c r="A193" s="250" t="s">
        <v>16</v>
      </c>
      <c r="B193" s="25" t="s">
        <v>82</v>
      </c>
      <c r="C193" s="226">
        <v>0.14610000000000001</v>
      </c>
      <c r="D193" s="227">
        <v>0.14630000000000001</v>
      </c>
      <c r="E193" s="227">
        <v>0.1211</v>
      </c>
      <c r="F193" s="227">
        <v>0.11459999999999999</v>
      </c>
      <c r="G193" s="228">
        <v>0.1099</v>
      </c>
    </row>
    <row r="194" spans="1:7" ht="18.75" hidden="1" thickBot="1" x14ac:dyDescent="0.45">
      <c r="A194" s="250" t="s">
        <v>17</v>
      </c>
      <c r="B194" s="25" t="s">
        <v>82</v>
      </c>
      <c r="C194" s="226">
        <v>0.1298</v>
      </c>
      <c r="D194" s="227">
        <v>0.1419</v>
      </c>
      <c r="E194" s="227">
        <v>0.1163</v>
      </c>
      <c r="F194" s="227">
        <v>0.11210000000000001</v>
      </c>
      <c r="G194" s="228">
        <v>9.9199999999999997E-2</v>
      </c>
    </row>
    <row r="195" spans="1:7" ht="18.75" hidden="1" thickBot="1" x14ac:dyDescent="0.45">
      <c r="A195" s="250" t="s">
        <v>18</v>
      </c>
      <c r="B195" s="25" t="s">
        <v>82</v>
      </c>
      <c r="C195" s="226">
        <v>0.1346</v>
      </c>
      <c r="D195" s="227">
        <v>0.14599999999999999</v>
      </c>
      <c r="E195" s="227">
        <v>0.1177</v>
      </c>
      <c r="F195" s="227">
        <v>0.11169999999999999</v>
      </c>
      <c r="G195" s="228">
        <v>0.10489999999999999</v>
      </c>
    </row>
    <row r="196" spans="1:7" ht="18.75" hidden="1" thickBot="1" x14ac:dyDescent="0.45">
      <c r="A196" s="250" t="s">
        <v>19</v>
      </c>
      <c r="B196" s="25" t="s">
        <v>82</v>
      </c>
      <c r="C196" s="226">
        <v>0.14230000000000001</v>
      </c>
      <c r="D196" s="227">
        <v>0.15279999999999999</v>
      </c>
      <c r="E196" s="227">
        <v>0.13</v>
      </c>
      <c r="F196" s="227">
        <v>0.1205</v>
      </c>
      <c r="G196" s="228">
        <v>0.1137</v>
      </c>
    </row>
    <row r="197" spans="1:7" ht="18.75" hidden="1" thickBot="1" x14ac:dyDescent="0.45">
      <c r="A197" s="251" t="s">
        <v>20</v>
      </c>
      <c r="B197" s="25" t="s">
        <v>82</v>
      </c>
      <c r="C197" s="244">
        <v>0.1305</v>
      </c>
      <c r="D197" s="245">
        <v>0.1434</v>
      </c>
      <c r="E197" s="245">
        <v>0.1179</v>
      </c>
      <c r="F197" s="245">
        <v>0.1077</v>
      </c>
      <c r="G197" s="231">
        <v>0.1021</v>
      </c>
    </row>
    <row r="198" spans="1:7" ht="18.75" hidden="1" thickBot="1" x14ac:dyDescent="0.45">
      <c r="A198" s="156" t="s">
        <v>90</v>
      </c>
      <c r="B198" s="100" t="s">
        <v>82</v>
      </c>
      <c r="C198" s="232">
        <f>SUM(C178:C197)</f>
        <v>2.5985999999999998</v>
      </c>
      <c r="D198" s="233">
        <f>SUM(D178:D197)</f>
        <v>2.8382000000000005</v>
      </c>
      <c r="E198" s="233">
        <f t="shared" ref="E198" si="19">SUM(E178:E197)</f>
        <v>2.3162999999999996</v>
      </c>
      <c r="F198" s="233">
        <f t="shared" ref="F198:G198" si="20">SUM(F178:F197)</f>
        <v>2.1643999999999997</v>
      </c>
      <c r="G198" s="234">
        <f t="shared" si="20"/>
        <v>1.9854000000000001</v>
      </c>
    </row>
    <row r="199" spans="1:7" ht="18.75" hidden="1" thickBot="1" x14ac:dyDescent="0.45">
      <c r="A199" s="156" t="s">
        <v>40</v>
      </c>
      <c r="B199" s="100" t="s">
        <v>82</v>
      </c>
      <c r="C199" s="232">
        <f>AVERAGE(C178:C197)</f>
        <v>0.12992999999999999</v>
      </c>
      <c r="D199" s="233">
        <f t="shared" ref="D199:G199" si="21">AVERAGE(D178:D197)</f>
        <v>0.14191000000000004</v>
      </c>
      <c r="E199" s="233">
        <f t="shared" si="21"/>
        <v>0.11581499999999997</v>
      </c>
      <c r="F199" s="233">
        <f t="shared" si="21"/>
        <v>0.10821999999999998</v>
      </c>
      <c r="G199" s="234">
        <f t="shared" si="21"/>
        <v>9.9269999999999997E-2</v>
      </c>
    </row>
    <row r="200" spans="1:7" ht="18.75" hidden="1" thickBot="1" x14ac:dyDescent="0.45">
      <c r="A200" s="156" t="s">
        <v>41</v>
      </c>
      <c r="B200" s="100" t="s">
        <v>82</v>
      </c>
      <c r="C200" s="232">
        <f>MEDIAN(C178:C197)</f>
        <v>0.13014999999999999</v>
      </c>
      <c r="D200" s="233">
        <f t="shared" ref="D200:F200" si="22">MEDIAN(D178:D197)</f>
        <v>0.14185</v>
      </c>
      <c r="E200" s="233">
        <f t="shared" si="22"/>
        <v>0.11699999999999999</v>
      </c>
      <c r="F200" s="233">
        <f t="shared" si="22"/>
        <v>0.10935</v>
      </c>
      <c r="G200" s="234">
        <f>MEDIAN(G178:G197)</f>
        <v>9.9299999999999999E-2</v>
      </c>
    </row>
    <row r="201" spans="1:7" ht="18.75" hidden="1" thickBot="1" x14ac:dyDescent="0.45">
      <c r="A201" s="249" t="s">
        <v>1</v>
      </c>
      <c r="B201" s="25" t="s">
        <v>83</v>
      </c>
      <c r="C201" s="223">
        <v>9.6299999999999997E-2</v>
      </c>
      <c r="D201" s="224">
        <v>0.1096</v>
      </c>
      <c r="E201" s="224">
        <v>8.8499999999999995E-2</v>
      </c>
      <c r="F201" s="224">
        <v>7.9799999999999996E-2</v>
      </c>
      <c r="G201" s="225">
        <v>7.5999999999999998E-2</v>
      </c>
    </row>
    <row r="202" spans="1:7" ht="18.75" hidden="1" thickBot="1" x14ac:dyDescent="0.45">
      <c r="A202" s="250" t="s">
        <v>2</v>
      </c>
      <c r="B202" s="25" t="s">
        <v>83</v>
      </c>
      <c r="C202" s="226">
        <v>8.9399999999999993E-2</v>
      </c>
      <c r="D202" s="227">
        <v>0.1055</v>
      </c>
      <c r="E202" s="227">
        <v>7.1099999999999997E-2</v>
      </c>
      <c r="F202" s="227">
        <v>8.5800000000000001E-2</v>
      </c>
      <c r="G202" s="228">
        <v>7.6899999999999996E-2</v>
      </c>
    </row>
    <row r="203" spans="1:7" ht="18.75" hidden="1" thickBot="1" x14ac:dyDescent="0.45">
      <c r="A203" s="250" t="s">
        <v>3</v>
      </c>
      <c r="B203" s="25" t="s">
        <v>83</v>
      </c>
      <c r="C203" s="226">
        <v>9.0700000000000003E-2</v>
      </c>
      <c r="D203" s="227">
        <v>0.12520000000000001</v>
      </c>
      <c r="E203" s="227">
        <v>8.4400000000000003E-2</v>
      </c>
      <c r="F203" s="227">
        <v>8.1000000000000003E-2</v>
      </c>
      <c r="G203" s="228">
        <v>6.54E-2</v>
      </c>
    </row>
    <row r="204" spans="1:7" ht="18.75" hidden="1" thickBot="1" x14ac:dyDescent="0.45">
      <c r="A204" s="250" t="s">
        <v>4</v>
      </c>
      <c r="B204" s="25" t="s">
        <v>83</v>
      </c>
      <c r="C204" s="226">
        <v>8.0699999999999994E-2</v>
      </c>
      <c r="D204" s="227">
        <v>0.1007</v>
      </c>
      <c r="E204" s="227">
        <v>9.1499999999999998E-2</v>
      </c>
      <c r="F204" s="227">
        <v>8.3199999999999996E-2</v>
      </c>
      <c r="G204" s="228">
        <v>8.3599999999999994E-2</v>
      </c>
    </row>
    <row r="205" spans="1:7" ht="18.75" hidden="1" thickBot="1" x14ac:dyDescent="0.45">
      <c r="A205" s="250" t="s">
        <v>5</v>
      </c>
      <c r="B205" s="25" t="s">
        <v>83</v>
      </c>
      <c r="C205" s="226">
        <v>7.7700000000000005E-2</v>
      </c>
      <c r="D205" s="227">
        <v>9.4899999999999998E-2</v>
      </c>
      <c r="E205" s="227">
        <v>6.7699999999999996E-2</v>
      </c>
      <c r="F205" s="227">
        <v>7.3800000000000004E-2</v>
      </c>
      <c r="G205" s="228">
        <v>6.6600000000000006E-2</v>
      </c>
    </row>
    <row r="206" spans="1:7" ht="18.75" hidden="1" thickBot="1" x14ac:dyDescent="0.45">
      <c r="A206" s="250" t="s">
        <v>6</v>
      </c>
      <c r="B206" s="25" t="s">
        <v>83</v>
      </c>
      <c r="C206" s="226">
        <v>7.4399999999999994E-2</v>
      </c>
      <c r="D206" s="227">
        <v>8.7400000000000005E-2</v>
      </c>
      <c r="E206" s="227">
        <v>5.57E-2</v>
      </c>
      <c r="F206" s="227">
        <v>5.8299999999999998E-2</v>
      </c>
      <c r="G206" s="228">
        <v>5.4899999999999997E-2</v>
      </c>
    </row>
    <row r="207" spans="1:7" ht="18.75" hidden="1" thickBot="1" x14ac:dyDescent="0.45">
      <c r="A207" s="250" t="s">
        <v>7</v>
      </c>
      <c r="B207" s="25" t="s">
        <v>83</v>
      </c>
      <c r="C207" s="226">
        <v>8.09E-2</v>
      </c>
      <c r="D207" s="227">
        <v>5.8500000000000003E-2</v>
      </c>
      <c r="E207" s="227">
        <v>6.1199999999999997E-2</v>
      </c>
      <c r="F207" s="227">
        <v>3.5700000000000003E-2</v>
      </c>
      <c r="G207" s="228">
        <v>5.2600000000000001E-2</v>
      </c>
    </row>
    <row r="208" spans="1:7" ht="18.75" hidden="1" thickBot="1" x14ac:dyDescent="0.45">
      <c r="A208" s="250" t="s">
        <v>8</v>
      </c>
      <c r="B208" s="25" t="s">
        <v>83</v>
      </c>
      <c r="C208" s="226">
        <v>7.2099999999999997E-2</v>
      </c>
      <c r="D208" s="227">
        <v>9.3399999999999997E-2</v>
      </c>
      <c r="E208" s="227">
        <v>5.8700000000000002E-2</v>
      </c>
      <c r="F208" s="227">
        <v>6.8900000000000003E-2</v>
      </c>
      <c r="G208" s="228">
        <v>5.7000000000000002E-2</v>
      </c>
    </row>
    <row r="209" spans="1:7" ht="18.75" hidden="1" thickBot="1" x14ac:dyDescent="0.45">
      <c r="A209" s="250" t="s">
        <v>9</v>
      </c>
      <c r="B209" s="25" t="s">
        <v>83</v>
      </c>
      <c r="C209" s="226">
        <v>0.1</v>
      </c>
      <c r="D209" s="227">
        <v>6.6699999999999995E-2</v>
      </c>
      <c r="E209" s="227">
        <v>0.16669999999999999</v>
      </c>
      <c r="F209" s="227">
        <v>0</v>
      </c>
      <c r="G209" s="228">
        <v>0</v>
      </c>
    </row>
    <row r="210" spans="1:7" ht="18.75" hidden="1" thickBot="1" x14ac:dyDescent="0.45">
      <c r="A210" s="250" t="s">
        <v>10</v>
      </c>
      <c r="B210" s="25" t="s">
        <v>83</v>
      </c>
      <c r="C210" s="226">
        <v>7.9699999999999993E-2</v>
      </c>
      <c r="D210" s="227">
        <v>9.7600000000000006E-2</v>
      </c>
      <c r="E210" s="227">
        <v>0.08</v>
      </c>
      <c r="F210" s="227">
        <v>7.7399999999999997E-2</v>
      </c>
      <c r="G210" s="228">
        <v>8.2900000000000001E-2</v>
      </c>
    </row>
    <row r="211" spans="1:7" ht="18.75" hidden="1" thickBot="1" x14ac:dyDescent="0.45">
      <c r="A211" s="250" t="s">
        <v>11</v>
      </c>
      <c r="B211" s="25" t="s">
        <v>83</v>
      </c>
      <c r="C211" s="226">
        <v>7.9500000000000001E-2</v>
      </c>
      <c r="D211" s="227">
        <v>0.1007</v>
      </c>
      <c r="E211" s="227">
        <v>7.6899999999999996E-2</v>
      </c>
      <c r="F211" s="227">
        <v>6.6900000000000001E-2</v>
      </c>
      <c r="G211" s="228">
        <v>6.4000000000000001E-2</v>
      </c>
    </row>
    <row r="212" spans="1:7" ht="18.75" hidden="1" thickBot="1" x14ac:dyDescent="0.45">
      <c r="A212" s="250" t="s">
        <v>12</v>
      </c>
      <c r="B212" s="25" t="s">
        <v>83</v>
      </c>
      <c r="C212" s="226">
        <v>6.5000000000000002E-2</v>
      </c>
      <c r="D212" s="227">
        <v>7.9699999999999993E-2</v>
      </c>
      <c r="E212" s="227">
        <v>6.9500000000000006E-2</v>
      </c>
      <c r="F212" s="227">
        <v>6.1499999999999999E-2</v>
      </c>
      <c r="G212" s="228">
        <v>5.7799999999999997E-2</v>
      </c>
    </row>
    <row r="213" spans="1:7" ht="18.75" hidden="1" thickBot="1" x14ac:dyDescent="0.45">
      <c r="A213" s="250" t="s">
        <v>13</v>
      </c>
      <c r="B213" s="25" t="s">
        <v>83</v>
      </c>
      <c r="C213" s="226">
        <v>8.1900000000000001E-2</v>
      </c>
      <c r="D213" s="227">
        <v>0.10009999999999999</v>
      </c>
      <c r="E213" s="227">
        <v>6.8000000000000005E-2</v>
      </c>
      <c r="F213" s="227">
        <v>6.13E-2</v>
      </c>
      <c r="G213" s="228">
        <v>5.8999999999999997E-2</v>
      </c>
    </row>
    <row r="214" spans="1:7" ht="18.75" hidden="1" thickBot="1" x14ac:dyDescent="0.45">
      <c r="A214" s="250" t="s">
        <v>14</v>
      </c>
      <c r="B214" s="25" t="s">
        <v>83</v>
      </c>
      <c r="C214" s="226">
        <v>7.0000000000000007E-2</v>
      </c>
      <c r="D214" s="227">
        <v>9.1399999999999995E-2</v>
      </c>
      <c r="E214" s="227">
        <v>7.2599999999999998E-2</v>
      </c>
      <c r="F214" s="227">
        <v>6.4199999999999993E-2</v>
      </c>
      <c r="G214" s="228">
        <v>6.3299999999999995E-2</v>
      </c>
    </row>
    <row r="215" spans="1:7" ht="18.75" hidden="1" thickBot="1" x14ac:dyDescent="0.45">
      <c r="A215" s="250" t="s">
        <v>15</v>
      </c>
      <c r="B215" s="25" t="s">
        <v>83</v>
      </c>
      <c r="C215" s="226">
        <v>9.1300000000000006E-2</v>
      </c>
      <c r="D215" s="227">
        <v>0.1125</v>
      </c>
      <c r="E215" s="227">
        <v>8.1699999999999995E-2</v>
      </c>
      <c r="F215" s="227">
        <v>7.8299999999999995E-2</v>
      </c>
      <c r="G215" s="228">
        <v>6.5799999999999997E-2</v>
      </c>
    </row>
    <row r="216" spans="1:7" ht="18.75" hidden="1" thickBot="1" x14ac:dyDescent="0.45">
      <c r="A216" s="250" t="s">
        <v>16</v>
      </c>
      <c r="B216" s="25" t="s">
        <v>83</v>
      </c>
      <c r="C216" s="226">
        <v>7.4300000000000005E-2</v>
      </c>
      <c r="D216" s="227">
        <v>9.74E-2</v>
      </c>
      <c r="E216" s="227">
        <v>6.2600000000000003E-2</v>
      </c>
      <c r="F216" s="227">
        <v>5.8500000000000003E-2</v>
      </c>
      <c r="G216" s="228">
        <v>6.3200000000000006E-2</v>
      </c>
    </row>
    <row r="217" spans="1:7" ht="18.75" hidden="1" thickBot="1" x14ac:dyDescent="0.45">
      <c r="A217" s="250" t="s">
        <v>17</v>
      </c>
      <c r="B217" s="25" t="s">
        <v>83</v>
      </c>
      <c r="C217" s="226">
        <v>5.67E-2</v>
      </c>
      <c r="D217" s="227">
        <v>7.6899999999999996E-2</v>
      </c>
      <c r="E217" s="227">
        <v>6.08E-2</v>
      </c>
      <c r="F217" s="227">
        <v>6.0199999999999997E-2</v>
      </c>
      <c r="G217" s="228">
        <v>5.7000000000000002E-2</v>
      </c>
    </row>
    <row r="218" spans="1:7" ht="18.75" hidden="1" thickBot="1" x14ac:dyDescent="0.45">
      <c r="A218" s="250" t="s">
        <v>18</v>
      </c>
      <c r="B218" s="25" t="s">
        <v>83</v>
      </c>
      <c r="C218" s="226">
        <v>0.09</v>
      </c>
      <c r="D218" s="227">
        <v>0.1019</v>
      </c>
      <c r="E218" s="227">
        <v>6.9699999999999998E-2</v>
      </c>
      <c r="F218" s="227">
        <v>6.1800000000000001E-2</v>
      </c>
      <c r="G218" s="228">
        <v>7.5200000000000003E-2</v>
      </c>
    </row>
    <row r="219" spans="1:7" ht="18.75" hidden="1" thickBot="1" x14ac:dyDescent="0.45">
      <c r="A219" s="250" t="s">
        <v>19</v>
      </c>
      <c r="B219" s="25" t="s">
        <v>83</v>
      </c>
      <c r="C219" s="226">
        <v>9.8699999999999996E-2</v>
      </c>
      <c r="D219" s="227">
        <v>0.1172</v>
      </c>
      <c r="E219" s="227">
        <v>9.6799999999999997E-2</v>
      </c>
      <c r="F219" s="227">
        <v>8.5400000000000004E-2</v>
      </c>
      <c r="G219" s="228">
        <v>8.1000000000000003E-2</v>
      </c>
    </row>
    <row r="220" spans="1:7" ht="18.75" hidden="1" thickBot="1" x14ac:dyDescent="0.45">
      <c r="A220" s="251" t="s">
        <v>20</v>
      </c>
      <c r="B220" s="25" t="s">
        <v>83</v>
      </c>
      <c r="C220" s="229">
        <v>7.7700000000000005E-2</v>
      </c>
      <c r="D220" s="230">
        <v>0.1003</v>
      </c>
      <c r="E220" s="230">
        <v>8.6400000000000005E-2</v>
      </c>
      <c r="F220" s="230">
        <v>7.7899999999999997E-2</v>
      </c>
      <c r="G220" s="231">
        <v>8.5099999999999995E-2</v>
      </c>
    </row>
    <row r="221" spans="1:7" ht="18.75" hidden="1" thickBot="1" x14ac:dyDescent="0.45">
      <c r="A221" s="156" t="s">
        <v>91</v>
      </c>
      <c r="B221" s="100" t="s">
        <v>83</v>
      </c>
      <c r="C221" s="232">
        <f>SUM(C201:C220)</f>
        <v>1.6270000000000002</v>
      </c>
      <c r="D221" s="233">
        <f>SUM(D201:D220)</f>
        <v>1.9176</v>
      </c>
      <c r="E221" s="233">
        <f t="shared" ref="E221" si="23">SUM(E201:E220)</f>
        <v>1.5705</v>
      </c>
      <c r="F221" s="233">
        <f t="shared" ref="F221:G221" si="24">SUM(F201:F220)</f>
        <v>1.3199000000000003</v>
      </c>
      <c r="G221" s="234">
        <f t="shared" si="24"/>
        <v>1.2872999999999999</v>
      </c>
    </row>
    <row r="222" spans="1:7" ht="18.75" hidden="1" thickBot="1" x14ac:dyDescent="0.45">
      <c r="A222" s="156" t="s">
        <v>40</v>
      </c>
      <c r="B222" s="100" t="s">
        <v>83</v>
      </c>
      <c r="C222" s="232">
        <f>AVERAGE(C201:C220)</f>
        <v>8.1350000000000006E-2</v>
      </c>
      <c r="D222" s="233">
        <f t="shared" ref="D222:G222" si="25">AVERAGE(D201:D220)</f>
        <v>9.5879999999999993E-2</v>
      </c>
      <c r="E222" s="233">
        <f t="shared" si="25"/>
        <v>7.8524999999999998E-2</v>
      </c>
      <c r="F222" s="233">
        <f t="shared" si="25"/>
        <v>6.5995000000000012E-2</v>
      </c>
      <c r="G222" s="234">
        <f t="shared" si="25"/>
        <v>6.4364999999999992E-2</v>
      </c>
    </row>
    <row r="223" spans="1:7" ht="18.75" hidden="1" thickBot="1" x14ac:dyDescent="0.45">
      <c r="A223" s="156" t="s">
        <v>41</v>
      </c>
      <c r="B223" s="100" t="s">
        <v>83</v>
      </c>
      <c r="C223" s="232">
        <f>MEDIAN(C201:C220)</f>
        <v>8.0199999999999994E-2</v>
      </c>
      <c r="D223" s="233">
        <f t="shared" ref="D223:G223" si="26">MEDIAN(D201:D220)</f>
        <v>9.8849999999999993E-2</v>
      </c>
      <c r="E223" s="233">
        <f t="shared" si="26"/>
        <v>7.1849999999999997E-2</v>
      </c>
      <c r="F223" s="233">
        <f t="shared" si="26"/>
        <v>6.7900000000000002E-2</v>
      </c>
      <c r="G223" s="234">
        <f t="shared" si="26"/>
        <v>6.4700000000000008E-2</v>
      </c>
    </row>
    <row r="224" spans="1:7" ht="18" x14ac:dyDescent="0.4">
      <c r="A224" s="249" t="s">
        <v>1</v>
      </c>
      <c r="B224" s="25" t="s">
        <v>84</v>
      </c>
      <c r="C224" s="223">
        <v>0.61980000000000002</v>
      </c>
      <c r="D224" s="224">
        <v>0.61909999999999998</v>
      </c>
      <c r="E224" s="224">
        <v>0.62190000000000001</v>
      </c>
      <c r="F224" s="224">
        <v>0.64690000000000003</v>
      </c>
      <c r="G224" s="225">
        <v>0.63349999999999995</v>
      </c>
    </row>
    <row r="225" spans="1:7" ht="18" x14ac:dyDescent="0.4">
      <c r="A225" s="250" t="s">
        <v>2</v>
      </c>
      <c r="B225" s="25" t="s">
        <v>84</v>
      </c>
      <c r="C225" s="226">
        <v>0.58799999999999997</v>
      </c>
      <c r="D225" s="227">
        <v>0.61009999999999998</v>
      </c>
      <c r="E225" s="227">
        <v>0.59509999999999996</v>
      </c>
      <c r="F225" s="227">
        <v>0.5958</v>
      </c>
      <c r="G225" s="228">
        <v>0.61539999999999995</v>
      </c>
    </row>
    <row r="226" spans="1:7" ht="18" x14ac:dyDescent="0.4">
      <c r="A226" s="250" t="s">
        <v>3</v>
      </c>
      <c r="B226" s="25" t="s">
        <v>84</v>
      </c>
      <c r="C226" s="226">
        <v>0.58860000000000001</v>
      </c>
      <c r="D226" s="227">
        <v>0.64910000000000001</v>
      </c>
      <c r="E226" s="227">
        <v>0.61619999999999997</v>
      </c>
      <c r="F226" s="227">
        <v>0.61819999999999997</v>
      </c>
      <c r="G226" s="228">
        <v>0.59040000000000004</v>
      </c>
    </row>
    <row r="227" spans="1:7" ht="18" x14ac:dyDescent="0.4">
      <c r="A227" s="250" t="s">
        <v>4</v>
      </c>
      <c r="B227" s="25" t="s">
        <v>84</v>
      </c>
      <c r="C227" s="226">
        <v>0.58989999999999998</v>
      </c>
      <c r="D227" s="227">
        <v>0.60140000000000005</v>
      </c>
      <c r="E227" s="227">
        <v>0.62090000000000001</v>
      </c>
      <c r="F227" s="227">
        <v>0.64059999999999995</v>
      </c>
      <c r="G227" s="228">
        <v>0.63180000000000003</v>
      </c>
    </row>
    <row r="228" spans="1:7" ht="18" x14ac:dyDescent="0.4">
      <c r="A228" s="250" t="s">
        <v>5</v>
      </c>
      <c r="B228" s="25" t="s">
        <v>84</v>
      </c>
      <c r="C228" s="226">
        <v>0.58699999999999997</v>
      </c>
      <c r="D228" s="227">
        <v>0.60519999999999996</v>
      </c>
      <c r="E228" s="227">
        <v>0.60289999999999999</v>
      </c>
      <c r="F228" s="227">
        <v>0.60929999999999995</v>
      </c>
      <c r="G228" s="228">
        <v>0.60199999999999998</v>
      </c>
    </row>
    <row r="229" spans="1:7" ht="18" x14ac:dyDescent="0.4">
      <c r="A229" s="250" t="s">
        <v>6</v>
      </c>
      <c r="B229" s="25" t="s">
        <v>84</v>
      </c>
      <c r="C229" s="226">
        <v>0.59299999999999997</v>
      </c>
      <c r="D229" s="227">
        <v>0.60260000000000002</v>
      </c>
      <c r="E229" s="227">
        <v>0.63139999999999996</v>
      </c>
      <c r="F229" s="227">
        <v>0.63160000000000005</v>
      </c>
      <c r="G229" s="228">
        <v>0.6401</v>
      </c>
    </row>
    <row r="230" spans="1:7" ht="18" x14ac:dyDescent="0.4">
      <c r="A230" s="250" t="s">
        <v>7</v>
      </c>
      <c r="B230" s="25" t="s">
        <v>84</v>
      </c>
      <c r="C230" s="226">
        <v>0.58960000000000001</v>
      </c>
      <c r="D230" s="227">
        <v>0.57889999999999997</v>
      </c>
      <c r="E230" s="227">
        <v>0.63949999999999996</v>
      </c>
      <c r="F230" s="227">
        <v>0.61429999999999996</v>
      </c>
      <c r="G230" s="228">
        <v>0.57889999999999997</v>
      </c>
    </row>
    <row r="231" spans="1:7" ht="18" x14ac:dyDescent="0.4">
      <c r="A231" s="250" t="s">
        <v>8</v>
      </c>
      <c r="B231" s="25" t="s">
        <v>84</v>
      </c>
      <c r="C231" s="226">
        <v>0.59089999999999998</v>
      </c>
      <c r="D231" s="227">
        <v>0.6018</v>
      </c>
      <c r="E231" s="227">
        <v>0.62770000000000004</v>
      </c>
      <c r="F231" s="227">
        <v>0.64449999999999996</v>
      </c>
      <c r="G231" s="228">
        <v>0.62419999999999998</v>
      </c>
    </row>
    <row r="232" spans="1:7" ht="18" x14ac:dyDescent="0.4">
      <c r="A232" s="250" t="s">
        <v>9</v>
      </c>
      <c r="B232" s="25" t="s">
        <v>84</v>
      </c>
      <c r="C232" s="226">
        <v>0.4</v>
      </c>
      <c r="D232" s="227">
        <v>0.5333</v>
      </c>
      <c r="E232" s="227">
        <v>0.66669999999999996</v>
      </c>
      <c r="F232" s="227">
        <v>0.33329999999999999</v>
      </c>
      <c r="G232" s="228">
        <v>0.625</v>
      </c>
    </row>
    <row r="233" spans="1:7" ht="18" x14ac:dyDescent="0.4">
      <c r="A233" s="250" t="s">
        <v>10</v>
      </c>
      <c r="B233" s="25" t="s">
        <v>84</v>
      </c>
      <c r="C233" s="226">
        <v>0.57950000000000002</v>
      </c>
      <c r="D233" s="227">
        <v>0.60299999999999998</v>
      </c>
      <c r="E233" s="227">
        <v>0.62490000000000001</v>
      </c>
      <c r="F233" s="227">
        <v>0.61399999999999999</v>
      </c>
      <c r="G233" s="228">
        <v>0.61109999999999998</v>
      </c>
    </row>
    <row r="234" spans="1:7" ht="18" x14ac:dyDescent="0.4">
      <c r="A234" s="250" t="s">
        <v>11</v>
      </c>
      <c r="B234" s="25" t="s">
        <v>84</v>
      </c>
      <c r="C234" s="226">
        <v>0.55930000000000002</v>
      </c>
      <c r="D234" s="227">
        <v>0.58630000000000004</v>
      </c>
      <c r="E234" s="227">
        <v>0.60940000000000005</v>
      </c>
      <c r="F234" s="227">
        <v>0.61699999999999999</v>
      </c>
      <c r="G234" s="228">
        <v>0.62560000000000004</v>
      </c>
    </row>
    <row r="235" spans="1:7" ht="18" x14ac:dyDescent="0.4">
      <c r="A235" s="250" t="s">
        <v>12</v>
      </c>
      <c r="B235" s="25" t="s">
        <v>84</v>
      </c>
      <c r="C235" s="226">
        <v>0.60109999999999997</v>
      </c>
      <c r="D235" s="227">
        <v>0.6028</v>
      </c>
      <c r="E235" s="227">
        <v>0.61719999999999997</v>
      </c>
      <c r="F235" s="227">
        <v>0.62419999999999998</v>
      </c>
      <c r="G235" s="228">
        <v>0.61339999999999995</v>
      </c>
    </row>
    <row r="236" spans="1:7" ht="18" x14ac:dyDescent="0.4">
      <c r="A236" s="250" t="s">
        <v>13</v>
      </c>
      <c r="B236" s="25" t="s">
        <v>84</v>
      </c>
      <c r="C236" s="226">
        <v>0.625</v>
      </c>
      <c r="D236" s="227">
        <v>0.63539999999999996</v>
      </c>
      <c r="E236" s="227">
        <v>0.64190000000000003</v>
      </c>
      <c r="F236" s="227">
        <v>0.63629999999999998</v>
      </c>
      <c r="G236" s="228">
        <v>0.63729999999999998</v>
      </c>
    </row>
    <row r="237" spans="1:7" ht="18" x14ac:dyDescent="0.4">
      <c r="A237" s="250" t="s">
        <v>14</v>
      </c>
      <c r="B237" s="25" t="s">
        <v>84</v>
      </c>
      <c r="C237" s="226">
        <v>0.60219999999999996</v>
      </c>
      <c r="D237" s="227">
        <v>0.61799999999999999</v>
      </c>
      <c r="E237" s="227">
        <v>0.61670000000000003</v>
      </c>
      <c r="F237" s="227">
        <v>0.64039999999999997</v>
      </c>
      <c r="G237" s="228">
        <v>0.62339999999999995</v>
      </c>
    </row>
    <row r="238" spans="1:7" ht="18" x14ac:dyDescent="0.4">
      <c r="A238" s="250" t="s">
        <v>15</v>
      </c>
      <c r="B238" s="25" t="s">
        <v>84</v>
      </c>
      <c r="C238" s="226">
        <v>0.59319999999999995</v>
      </c>
      <c r="D238" s="227">
        <v>0.5958</v>
      </c>
      <c r="E238" s="227">
        <v>0.60540000000000005</v>
      </c>
      <c r="F238" s="227">
        <v>0.61419999999999997</v>
      </c>
      <c r="G238" s="228">
        <v>0.60870000000000002</v>
      </c>
    </row>
    <row r="239" spans="1:7" ht="18" x14ac:dyDescent="0.4">
      <c r="A239" s="250" t="s">
        <v>16</v>
      </c>
      <c r="B239" s="25" t="s">
        <v>84</v>
      </c>
      <c r="C239" s="226">
        <v>0.58599999999999997</v>
      </c>
      <c r="D239" s="227">
        <v>0.60629999999999995</v>
      </c>
      <c r="E239" s="227">
        <v>0.62870000000000004</v>
      </c>
      <c r="F239" s="227">
        <v>0.63239999999999996</v>
      </c>
      <c r="G239" s="228">
        <v>0.62749999999999995</v>
      </c>
    </row>
    <row r="240" spans="1:7" ht="18" x14ac:dyDescent="0.4">
      <c r="A240" s="250" t="s">
        <v>17</v>
      </c>
      <c r="B240" s="25" t="s">
        <v>84</v>
      </c>
      <c r="C240" s="226">
        <v>0.60070000000000001</v>
      </c>
      <c r="D240" s="227">
        <v>0.61539999999999995</v>
      </c>
      <c r="E240" s="227">
        <v>0.62350000000000005</v>
      </c>
      <c r="F240" s="227">
        <v>0.62170000000000003</v>
      </c>
      <c r="G240" s="228">
        <v>0.63009999999999999</v>
      </c>
    </row>
    <row r="241" spans="1:7" ht="18" x14ac:dyDescent="0.4">
      <c r="A241" s="250" t="s">
        <v>18</v>
      </c>
      <c r="B241" s="25" t="s">
        <v>84</v>
      </c>
      <c r="C241" s="226">
        <v>0.56689999999999996</v>
      </c>
      <c r="D241" s="227">
        <v>0.58140000000000003</v>
      </c>
      <c r="E241" s="227">
        <v>0.60389999999999999</v>
      </c>
      <c r="F241" s="227">
        <v>0.61119999999999997</v>
      </c>
      <c r="G241" s="228">
        <v>0.60609999999999997</v>
      </c>
    </row>
    <row r="242" spans="1:7" ht="18" x14ac:dyDescent="0.4">
      <c r="A242" s="250" t="s">
        <v>19</v>
      </c>
      <c r="B242" s="25" t="s">
        <v>84</v>
      </c>
      <c r="C242" s="226">
        <v>0.61229999999999996</v>
      </c>
      <c r="D242" s="227">
        <v>0.62050000000000005</v>
      </c>
      <c r="E242" s="227">
        <v>0.63759999999999994</v>
      </c>
      <c r="F242" s="227">
        <v>0.6321</v>
      </c>
      <c r="G242" s="228">
        <v>0.62880000000000003</v>
      </c>
    </row>
    <row r="243" spans="1:7" ht="18.75" thickBot="1" x14ac:dyDescent="0.45">
      <c r="A243" s="251" t="s">
        <v>20</v>
      </c>
      <c r="B243" s="25" t="s">
        <v>84</v>
      </c>
      <c r="C243" s="229">
        <v>0.57940000000000003</v>
      </c>
      <c r="D243" s="230">
        <v>0.58230000000000004</v>
      </c>
      <c r="E243" s="230">
        <v>0.59060000000000001</v>
      </c>
      <c r="F243" s="230">
        <v>0.60170000000000001</v>
      </c>
      <c r="G243" s="231">
        <v>0.58109999999999995</v>
      </c>
    </row>
    <row r="244" spans="1:7" ht="18.75" thickBot="1" x14ac:dyDescent="0.45">
      <c r="A244" s="156" t="s">
        <v>92</v>
      </c>
      <c r="B244" s="100" t="s">
        <v>84</v>
      </c>
      <c r="C244" s="232">
        <f>SUM(C224:C243)</f>
        <v>11.6524</v>
      </c>
      <c r="D244" s="233">
        <f>SUM(D224:D243)</f>
        <v>12.048699999999998</v>
      </c>
      <c r="E244" s="233">
        <f t="shared" ref="E244" si="27">SUM(E224:E243)</f>
        <v>12.422099999999999</v>
      </c>
      <c r="F244" s="233">
        <f t="shared" ref="F244:G244" si="28">SUM(F224:F243)</f>
        <v>12.1797</v>
      </c>
      <c r="G244" s="234">
        <f t="shared" si="28"/>
        <v>12.3344</v>
      </c>
    </row>
    <row r="245" spans="1:7" ht="18.75" thickBot="1" x14ac:dyDescent="0.45">
      <c r="A245" s="156" t="s">
        <v>40</v>
      </c>
      <c r="B245" s="100" t="s">
        <v>84</v>
      </c>
      <c r="C245" s="232">
        <f>AVERAGE(C224:C243)</f>
        <v>0.58262000000000003</v>
      </c>
      <c r="D245" s="233">
        <f t="shared" ref="D245:G245" si="29">AVERAGE(D224:D243)</f>
        <v>0.60243499999999994</v>
      </c>
      <c r="E245" s="233">
        <f t="shared" si="29"/>
        <v>0.62110499999999991</v>
      </c>
      <c r="F245" s="233">
        <f t="shared" si="29"/>
        <v>0.608985</v>
      </c>
      <c r="G245" s="234">
        <f t="shared" si="29"/>
        <v>0.61672000000000005</v>
      </c>
    </row>
    <row r="246" spans="1:7" ht="18.75" thickBot="1" x14ac:dyDescent="0.45">
      <c r="A246" s="156" t="s">
        <v>41</v>
      </c>
      <c r="B246" s="100" t="s">
        <v>84</v>
      </c>
      <c r="C246" s="232">
        <f>MEDIAN(C224:C243)</f>
        <v>0.58975</v>
      </c>
      <c r="D246" s="233">
        <f t="shared" ref="D246:G246" si="30">MEDIAN(D224:D243)</f>
        <v>0.60289999999999999</v>
      </c>
      <c r="E246" s="233">
        <f t="shared" si="30"/>
        <v>0.62139999999999995</v>
      </c>
      <c r="F246" s="233">
        <f t="shared" si="30"/>
        <v>0.61995</v>
      </c>
      <c r="G246" s="234">
        <f t="shared" si="30"/>
        <v>0.62379999999999991</v>
      </c>
    </row>
    <row r="247" spans="1:7" s="58" customFormat="1" ht="12.75" x14ac:dyDescent="0.2"/>
    <row r="248" spans="1:7" s="58" customFormat="1" ht="12.75" x14ac:dyDescent="0.2"/>
    <row r="249" spans="1:7" s="58" customFormat="1" ht="12.75" x14ac:dyDescent="0.2"/>
    <row r="250" spans="1:7" s="58" customFormat="1" ht="12.75" x14ac:dyDescent="0.2"/>
    <row r="251" spans="1:7" s="58" customFormat="1" ht="12.75" x14ac:dyDescent="0.2"/>
    <row r="252" spans="1:7" s="58" customFormat="1" ht="12.75" x14ac:dyDescent="0.2"/>
    <row r="253" spans="1:7" s="58" customFormat="1" ht="12.75" x14ac:dyDescent="0.2"/>
    <row r="254" spans="1:7" s="58" customFormat="1" ht="12.75" x14ac:dyDescent="0.2"/>
    <row r="255" spans="1:7" s="58" customFormat="1" ht="12.75" x14ac:dyDescent="0.2"/>
    <row r="256" spans="1:7" s="58" customFormat="1" ht="12.75" x14ac:dyDescent="0.2"/>
    <row r="257" s="58" customFormat="1" ht="12.75" x14ac:dyDescent="0.2"/>
    <row r="258" s="58" customFormat="1" ht="12.75" x14ac:dyDescent="0.2"/>
    <row r="259" s="58" customFormat="1" ht="12.75" x14ac:dyDescent="0.2"/>
    <row r="260" s="58" customFormat="1" ht="12.75" x14ac:dyDescent="0.2"/>
    <row r="261" s="58" customFormat="1" ht="12.75" x14ac:dyDescent="0.2"/>
    <row r="262" s="58" customFormat="1" ht="12.75" x14ac:dyDescent="0.2"/>
    <row r="263" s="58" customFormat="1" ht="12.75" x14ac:dyDescent="0.2"/>
    <row r="264" s="58" customFormat="1" ht="12.75" x14ac:dyDescent="0.2"/>
    <row r="265" s="58" customFormat="1" ht="12.75" x14ac:dyDescent="0.2"/>
    <row r="266" s="58" customFormat="1" ht="12.75" x14ac:dyDescent="0.2"/>
    <row r="267" s="58" customFormat="1" ht="12.75" x14ac:dyDescent="0.2"/>
    <row r="268" s="58" customFormat="1" ht="12.75" x14ac:dyDescent="0.2"/>
    <row r="269" s="58" customFormat="1" ht="12.75" x14ac:dyDescent="0.2"/>
    <row r="270" s="58" customFormat="1" ht="12.75" x14ac:dyDescent="0.2"/>
    <row r="271" s="58" customFormat="1" ht="12.75" x14ac:dyDescent="0.2"/>
    <row r="272" s="58" customFormat="1" ht="12.75" x14ac:dyDescent="0.2"/>
    <row r="273" s="58" customFormat="1" ht="12.75" x14ac:dyDescent="0.2"/>
    <row r="274" s="58" customFormat="1" ht="12.75" x14ac:dyDescent="0.2"/>
    <row r="275" s="58" customFormat="1" ht="12.75" x14ac:dyDescent="0.2"/>
    <row r="276" s="58" customFormat="1" ht="12.75" x14ac:dyDescent="0.2"/>
    <row r="277" s="58" customFormat="1" ht="12.75" x14ac:dyDescent="0.2"/>
    <row r="278" s="58" customFormat="1" ht="12.75" x14ac:dyDescent="0.2"/>
    <row r="279" s="58" customFormat="1" ht="12.75" x14ac:dyDescent="0.2"/>
    <row r="280" s="58" customFormat="1" ht="12.75" x14ac:dyDescent="0.2"/>
    <row r="281" s="58" customFormat="1" ht="12.75" x14ac:dyDescent="0.2"/>
    <row r="282" s="58" customFormat="1" ht="12.75" x14ac:dyDescent="0.2"/>
    <row r="283" s="58" customFormat="1" ht="12.75" x14ac:dyDescent="0.2"/>
    <row r="284" s="58" customFormat="1" ht="12.75" x14ac:dyDescent="0.2"/>
    <row r="285" s="58" customFormat="1" ht="12.75" x14ac:dyDescent="0.2"/>
    <row r="286" s="58" customFormat="1" ht="12.75" x14ac:dyDescent="0.2"/>
    <row r="287" s="58" customFormat="1" ht="12.75" x14ac:dyDescent="0.2"/>
    <row r="288" s="58" customFormat="1" ht="12.75" x14ac:dyDescent="0.2"/>
    <row r="289" s="58" customFormat="1" ht="12.75" x14ac:dyDescent="0.2"/>
    <row r="290" s="58" customFormat="1" ht="12.75" x14ac:dyDescent="0.2"/>
    <row r="291" s="58" customFormat="1" ht="12.75" x14ac:dyDescent="0.2"/>
    <row r="292" s="58" customFormat="1" ht="12.75" x14ac:dyDescent="0.2"/>
    <row r="293" s="58" customFormat="1" ht="12.75" x14ac:dyDescent="0.2"/>
    <row r="294" s="58" customFormat="1" ht="12.75" x14ac:dyDescent="0.2"/>
    <row r="295" s="58" customFormat="1" ht="12.75" x14ac:dyDescent="0.2"/>
    <row r="296" s="58" customFormat="1" ht="12.75" x14ac:dyDescent="0.2"/>
    <row r="297" s="58" customFormat="1" ht="12.75" x14ac:dyDescent="0.2"/>
    <row r="298" s="58" customFormat="1" ht="12.75" x14ac:dyDescent="0.2"/>
    <row r="299" s="58" customFormat="1" ht="12.75" x14ac:dyDescent="0.2"/>
    <row r="300" s="58" customFormat="1" ht="12.75" x14ac:dyDescent="0.2"/>
    <row r="301" s="58" customFormat="1" ht="12.75" x14ac:dyDescent="0.2"/>
    <row r="302" s="58" customFormat="1" ht="12.75" x14ac:dyDescent="0.2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  <row r="307" s="58" customFormat="1" ht="12.75" x14ac:dyDescent="0.2"/>
    <row r="308" s="58" customFormat="1" ht="12.75" x14ac:dyDescent="0.2"/>
    <row r="309" s="58" customFormat="1" ht="12.75" x14ac:dyDescent="0.2"/>
    <row r="310" s="58" customFormat="1" ht="12.75" x14ac:dyDescent="0.2"/>
    <row r="311" s="58" customFormat="1" ht="12.75" x14ac:dyDescent="0.2"/>
    <row r="312" s="58" customFormat="1" ht="12.75" x14ac:dyDescent="0.2"/>
    <row r="313" s="58" customFormat="1" ht="12.75" x14ac:dyDescent="0.2"/>
  </sheetData>
  <mergeCells count="1">
    <mergeCell ref="A1:G1"/>
  </mergeCells>
  <phoneticPr fontId="13" type="noConversion"/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7598D02-A594-467C-A655-014450C50FF0}">
          <x14:formula1>
            <xm:f>MESTRE!$C$2:$C$8</xm:f>
          </x14:formula1>
          <xm:sqref>B247:B571</xm:sqref>
        </x14:dataValidation>
        <x14:dataValidation type="list" allowBlank="1" showInputMessage="1" showErrorMessage="1" xr:uid="{81F19976-D3BF-4999-9B52-A87877199549}">
          <x14:formula1>
            <xm:f>MESTRE!$A$2:$A$21</xm:f>
          </x14:formula1>
          <xm:sqref>A3:A42 A112:A131 A46:A85 A135:A154 A89:A108 A158:A197 A201:A220 A247:A310 A224:A243</xm:sqref>
        </x14:dataValidation>
        <x14:dataValidation type="list" allowBlank="1" showInputMessage="1" showErrorMessage="1" xr:uid="{5DB11C2B-9BF7-4B81-9539-B96F0D6B7798}">
          <x14:formula1>
            <xm:f>MESTRE!$G$2:$G$12</xm:f>
          </x14:formula1>
          <xm:sqref>B3:B246</xm:sqref>
        </x14:dataValidation>
        <x14:dataValidation type="list" allowBlank="1" showInputMessage="1" showErrorMessage="1" xr:uid="{49504405-DE64-44D9-A8C1-FEB46C3F4D8A}">
          <x14:formula1>
            <xm:f>MESTRE!$A$2:$A$2096</xm:f>
          </x14:formula1>
          <xm:sqref>A132:A134 A244:A246 A221:A223 A198:A200 A109:A111 A155:A157 A43:A45 A86:A88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AED17-E343-40BB-AEF0-A3E5484288CC}">
  <sheetPr>
    <tabColor rgb="FFD6E4F8"/>
  </sheetPr>
  <dimension ref="A1:G310"/>
  <sheetViews>
    <sheetView showGridLines="0" zoomScale="84" zoomScaleNormal="84" workbookViewId="0">
      <selection activeCell="J20" sqref="J20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5.85546875" customWidth="1"/>
    <col min="8" max="9" width="10.42578125" customWidth="1"/>
  </cols>
  <sheetData>
    <row r="1" spans="1:7" s="182" customFormat="1" ht="24" customHeight="1" thickBot="1" x14ac:dyDescent="0.35">
      <c r="A1" s="409" t="s">
        <v>94</v>
      </c>
      <c r="B1" s="410"/>
      <c r="C1" s="410"/>
      <c r="D1" s="410"/>
      <c r="E1" s="410"/>
      <c r="F1" s="411"/>
      <c r="G1" s="181"/>
    </row>
    <row r="2" spans="1:7" s="9" customFormat="1" ht="36" customHeight="1" thickBot="1" x14ac:dyDescent="0.3">
      <c r="A2" s="158" t="s">
        <v>0</v>
      </c>
      <c r="B2" s="158" t="s">
        <v>24</v>
      </c>
      <c r="C2" s="188" t="s">
        <v>32</v>
      </c>
      <c r="D2" s="189" t="s">
        <v>33</v>
      </c>
      <c r="E2" s="189" t="s">
        <v>34</v>
      </c>
      <c r="F2" s="190" t="s">
        <v>35</v>
      </c>
    </row>
    <row r="3" spans="1:7" ht="18" x14ac:dyDescent="0.4">
      <c r="A3" s="68" t="s">
        <v>1</v>
      </c>
      <c r="B3" s="73" t="s">
        <v>96</v>
      </c>
      <c r="C3" s="168" t="s">
        <v>65</v>
      </c>
      <c r="D3" s="169"/>
      <c r="E3" s="269">
        <v>417975.34</v>
      </c>
      <c r="F3" s="270">
        <v>262522.63</v>
      </c>
      <c r="G3" s="9"/>
    </row>
    <row r="4" spans="1:7" ht="18" x14ac:dyDescent="0.4">
      <c r="A4" s="69" t="s">
        <v>2</v>
      </c>
      <c r="B4" s="74" t="s">
        <v>96</v>
      </c>
      <c r="C4" s="162" t="s">
        <v>65</v>
      </c>
      <c r="D4" s="33"/>
      <c r="E4" s="33"/>
      <c r="F4" s="163"/>
    </row>
    <row r="5" spans="1:7" ht="18" x14ac:dyDescent="0.4">
      <c r="A5" s="69" t="s">
        <v>3</v>
      </c>
      <c r="B5" s="74" t="s">
        <v>96</v>
      </c>
      <c r="C5" s="162" t="s">
        <v>65</v>
      </c>
      <c r="D5" s="268">
        <v>76356.160000000003</v>
      </c>
      <c r="E5" s="268">
        <v>76360</v>
      </c>
      <c r="F5" s="271"/>
    </row>
    <row r="6" spans="1:7" ht="18" x14ac:dyDescent="0.4">
      <c r="A6" s="69" t="s">
        <v>4</v>
      </c>
      <c r="B6" s="74" t="s">
        <v>96</v>
      </c>
      <c r="C6" s="162" t="s">
        <v>65</v>
      </c>
      <c r="D6" s="36">
        <v>207440</v>
      </c>
      <c r="E6" s="33"/>
      <c r="F6" s="31">
        <v>239800</v>
      </c>
    </row>
    <row r="7" spans="1:7" ht="18" x14ac:dyDescent="0.4">
      <c r="A7" s="69" t="s">
        <v>5</v>
      </c>
      <c r="B7" s="74" t="s">
        <v>96</v>
      </c>
      <c r="C7" s="162" t="s">
        <v>65</v>
      </c>
      <c r="D7" s="33"/>
      <c r="E7" s="33"/>
      <c r="F7" s="163"/>
    </row>
    <row r="8" spans="1:7" ht="18" x14ac:dyDescent="0.4">
      <c r="A8" s="69" t="s">
        <v>6</v>
      </c>
      <c r="B8" s="74" t="s">
        <v>96</v>
      </c>
      <c r="C8" s="162" t="s">
        <v>65</v>
      </c>
      <c r="D8" s="33"/>
      <c r="E8" s="33">
        <f>84589.0411/365</f>
        <v>231.75079753424657</v>
      </c>
      <c r="F8" s="31">
        <v>104271</v>
      </c>
    </row>
    <row r="9" spans="1:7" ht="18" x14ac:dyDescent="0.4">
      <c r="A9" s="69" t="s">
        <v>7</v>
      </c>
      <c r="B9" s="74" t="s">
        <v>96</v>
      </c>
      <c r="C9" s="162" t="s">
        <v>65</v>
      </c>
      <c r="D9" s="33"/>
      <c r="E9" s="33"/>
      <c r="F9" s="163"/>
    </row>
    <row r="10" spans="1:7" ht="18" x14ac:dyDescent="0.4">
      <c r="A10" s="69" t="s">
        <v>8</v>
      </c>
      <c r="B10" s="74" t="s">
        <v>96</v>
      </c>
      <c r="C10" s="162" t="s">
        <v>65</v>
      </c>
      <c r="D10" s="33"/>
      <c r="E10" s="33">
        <v>210916</v>
      </c>
      <c r="F10" s="271">
        <v>113446.58</v>
      </c>
    </row>
    <row r="11" spans="1:7" ht="18" x14ac:dyDescent="0.4">
      <c r="A11" s="69" t="s">
        <v>9</v>
      </c>
      <c r="B11" s="74" t="s">
        <v>96</v>
      </c>
      <c r="C11" s="162" t="s">
        <v>65</v>
      </c>
      <c r="D11" s="33" t="s">
        <v>65</v>
      </c>
      <c r="E11" s="33"/>
      <c r="F11" s="163"/>
    </row>
    <row r="12" spans="1:7" ht="18" x14ac:dyDescent="0.4">
      <c r="A12" s="69" t="s">
        <v>10</v>
      </c>
      <c r="B12" s="74" t="s">
        <v>96</v>
      </c>
      <c r="C12" s="162" t="s">
        <v>65</v>
      </c>
      <c r="D12" s="33"/>
      <c r="E12" s="33"/>
      <c r="F12" s="163"/>
    </row>
    <row r="13" spans="1:7" ht="18" x14ac:dyDescent="0.4">
      <c r="A13" s="69" t="s">
        <v>11</v>
      </c>
      <c r="B13" s="74" t="s">
        <v>96</v>
      </c>
      <c r="C13" s="162" t="s">
        <v>65</v>
      </c>
      <c r="D13" s="33"/>
      <c r="E13" s="33"/>
      <c r="F13" s="163"/>
    </row>
    <row r="14" spans="1:7" ht="18" x14ac:dyDescent="0.4">
      <c r="A14" s="69" t="s">
        <v>12</v>
      </c>
      <c r="B14" s="74" t="s">
        <v>96</v>
      </c>
      <c r="C14" s="162" t="s">
        <v>65</v>
      </c>
      <c r="D14" s="33"/>
      <c r="E14" s="33"/>
      <c r="F14" s="163"/>
    </row>
    <row r="15" spans="1:7" ht="18" x14ac:dyDescent="0.4">
      <c r="A15" s="69" t="s">
        <v>13</v>
      </c>
      <c r="B15" s="74" t="s">
        <v>96</v>
      </c>
      <c r="C15" s="162" t="s">
        <v>65</v>
      </c>
      <c r="D15" s="33"/>
      <c r="E15" s="33"/>
      <c r="F15" s="31">
        <v>109249</v>
      </c>
    </row>
    <row r="16" spans="1:7" ht="18" x14ac:dyDescent="0.4">
      <c r="A16" s="69" t="s">
        <v>14</v>
      </c>
      <c r="B16" s="74" t="s">
        <v>96</v>
      </c>
      <c r="C16" s="162" t="s">
        <v>65</v>
      </c>
      <c r="D16" s="33"/>
      <c r="E16" s="33"/>
      <c r="F16" s="163"/>
    </row>
    <row r="17" spans="1:7" ht="18" x14ac:dyDescent="0.4">
      <c r="A17" s="69" t="s">
        <v>15</v>
      </c>
      <c r="B17" s="74" t="s">
        <v>96</v>
      </c>
      <c r="C17" s="162" t="s">
        <v>65</v>
      </c>
      <c r="D17" s="36">
        <v>276500</v>
      </c>
      <c r="E17" s="33"/>
      <c r="F17" s="163"/>
    </row>
    <row r="18" spans="1:7" ht="18" x14ac:dyDescent="0.4">
      <c r="A18" s="69" t="s">
        <v>16</v>
      </c>
      <c r="B18" s="74" t="s">
        <v>96</v>
      </c>
      <c r="C18" s="164" t="s">
        <v>65</v>
      </c>
      <c r="D18" s="33"/>
      <c r="E18" s="33"/>
      <c r="F18" s="163"/>
    </row>
    <row r="19" spans="1:7" ht="18" x14ac:dyDescent="0.4">
      <c r="A19" s="69" t="s">
        <v>17</v>
      </c>
      <c r="B19" s="74" t="s">
        <v>96</v>
      </c>
      <c r="C19" s="162" t="s">
        <v>65</v>
      </c>
      <c r="D19" s="268">
        <v>74441.009999999995</v>
      </c>
      <c r="E19" s="268">
        <v>84383.53</v>
      </c>
      <c r="F19" s="271">
        <v>96101.4</v>
      </c>
    </row>
    <row r="20" spans="1:7" ht="18" x14ac:dyDescent="0.4">
      <c r="A20" s="69" t="s">
        <v>18</v>
      </c>
      <c r="B20" s="74" t="s">
        <v>96</v>
      </c>
      <c r="C20" s="162" t="s">
        <v>65</v>
      </c>
      <c r="D20" s="33"/>
      <c r="E20" s="36">
        <v>255340</v>
      </c>
      <c r="F20" s="31">
        <v>260641</v>
      </c>
    </row>
    <row r="21" spans="1:7" ht="18" x14ac:dyDescent="0.4">
      <c r="A21" s="69" t="s">
        <v>19</v>
      </c>
      <c r="B21" s="74" t="s">
        <v>96</v>
      </c>
      <c r="C21" s="162" t="s">
        <v>65</v>
      </c>
      <c r="D21" s="33"/>
      <c r="E21" s="36">
        <v>121322</v>
      </c>
      <c r="F21" s="163"/>
    </row>
    <row r="22" spans="1:7" ht="18.75" thickBot="1" x14ac:dyDescent="0.45">
      <c r="A22" s="70" t="s">
        <v>20</v>
      </c>
      <c r="B22" s="75" t="s">
        <v>96</v>
      </c>
      <c r="C22" s="165" t="s">
        <v>65</v>
      </c>
      <c r="D22" s="166"/>
      <c r="E22" s="166">
        <v>523.30999999999995</v>
      </c>
      <c r="F22" s="167"/>
    </row>
    <row r="23" spans="1:7" ht="18" hidden="1" x14ac:dyDescent="0.4">
      <c r="A23" s="25" t="s">
        <v>1</v>
      </c>
      <c r="B23" s="99" t="s">
        <v>97</v>
      </c>
      <c r="C23" s="288">
        <v>161492</v>
      </c>
      <c r="D23" s="289">
        <v>170051.48</v>
      </c>
      <c r="E23" s="290">
        <v>234520.05</v>
      </c>
      <c r="F23" s="291">
        <v>262522.63</v>
      </c>
    </row>
    <row r="24" spans="1:7" ht="18" hidden="1" x14ac:dyDescent="0.4">
      <c r="A24" s="14" t="s">
        <v>2</v>
      </c>
      <c r="B24" s="99" t="s">
        <v>97</v>
      </c>
      <c r="C24" s="199" t="s">
        <v>65</v>
      </c>
      <c r="D24" s="200" t="s">
        <v>65</v>
      </c>
      <c r="E24" s="200" t="s">
        <v>65</v>
      </c>
      <c r="F24" s="201" t="s">
        <v>65</v>
      </c>
    </row>
    <row r="25" spans="1:7" ht="18" hidden="1" x14ac:dyDescent="0.4">
      <c r="A25" s="14" t="s">
        <v>3</v>
      </c>
      <c r="B25" s="99" t="s">
        <v>97</v>
      </c>
      <c r="C25" s="199">
        <v>0</v>
      </c>
      <c r="D25" s="285">
        <v>3600</v>
      </c>
      <c r="E25" s="285">
        <v>3000</v>
      </c>
      <c r="F25" s="292" t="s">
        <v>65</v>
      </c>
    </row>
    <row r="26" spans="1:7" ht="18" hidden="1" x14ac:dyDescent="0.4">
      <c r="A26" s="14" t="s">
        <v>4</v>
      </c>
      <c r="B26" s="99" t="s">
        <v>97</v>
      </c>
      <c r="C26" s="293">
        <v>27077.64</v>
      </c>
      <c r="D26" s="285">
        <v>31381</v>
      </c>
      <c r="E26" s="285" t="s">
        <v>65</v>
      </c>
      <c r="F26" s="292" t="s">
        <v>65</v>
      </c>
      <c r="G26" s="58"/>
    </row>
    <row r="27" spans="1:7" ht="18" hidden="1" x14ac:dyDescent="0.4">
      <c r="A27" s="14" t="s">
        <v>5</v>
      </c>
      <c r="B27" s="99" t="s">
        <v>97</v>
      </c>
      <c r="C27" s="199" t="s">
        <v>65</v>
      </c>
      <c r="D27" s="200" t="s">
        <v>65</v>
      </c>
      <c r="E27" s="200" t="s">
        <v>65</v>
      </c>
      <c r="F27" s="201" t="s">
        <v>65</v>
      </c>
      <c r="G27" s="58"/>
    </row>
    <row r="28" spans="1:7" ht="18" hidden="1" x14ac:dyDescent="0.4">
      <c r="A28" s="14" t="s">
        <v>6</v>
      </c>
      <c r="B28" s="99" t="s">
        <v>97</v>
      </c>
      <c r="C28" s="294">
        <v>9493.7999999999993</v>
      </c>
      <c r="D28" s="286" t="s">
        <v>65</v>
      </c>
      <c r="E28" s="286">
        <v>11835</v>
      </c>
      <c r="F28" s="295">
        <v>24875.99</v>
      </c>
      <c r="G28" s="58"/>
    </row>
    <row r="29" spans="1:7" ht="18" hidden="1" x14ac:dyDescent="0.4">
      <c r="A29" s="14" t="s">
        <v>7</v>
      </c>
      <c r="B29" s="99" t="s">
        <v>97</v>
      </c>
      <c r="C29" s="199" t="s">
        <v>65</v>
      </c>
      <c r="D29" s="200" t="s">
        <v>65</v>
      </c>
      <c r="E29" s="200" t="s">
        <v>65</v>
      </c>
      <c r="F29" s="201" t="s">
        <v>65</v>
      </c>
      <c r="G29" s="58"/>
    </row>
    <row r="30" spans="1:7" ht="18" hidden="1" x14ac:dyDescent="0.4">
      <c r="A30" s="14" t="s">
        <v>8</v>
      </c>
      <c r="B30" s="99" t="s">
        <v>97</v>
      </c>
      <c r="C30" s="296">
        <v>12301.67</v>
      </c>
      <c r="D30" s="287" t="s">
        <v>65</v>
      </c>
      <c r="E30" s="287">
        <v>0</v>
      </c>
      <c r="F30" s="297">
        <v>0</v>
      </c>
      <c r="G30" s="58"/>
    </row>
    <row r="31" spans="1:7" ht="18" hidden="1" x14ac:dyDescent="0.4">
      <c r="A31" s="14" t="s">
        <v>9</v>
      </c>
      <c r="B31" s="99" t="s">
        <v>97</v>
      </c>
      <c r="C31" s="293">
        <v>1626.09</v>
      </c>
      <c r="D31" s="287">
        <v>1646.12</v>
      </c>
      <c r="E31" s="287" t="s">
        <v>65</v>
      </c>
      <c r="F31" s="297" t="s">
        <v>65</v>
      </c>
      <c r="G31" s="58"/>
    </row>
    <row r="32" spans="1:7" ht="18" hidden="1" x14ac:dyDescent="0.4">
      <c r="A32" s="14" t="s">
        <v>10</v>
      </c>
      <c r="B32" s="99" t="s">
        <v>97</v>
      </c>
      <c r="C32" s="199" t="s">
        <v>65</v>
      </c>
      <c r="D32" s="200" t="s">
        <v>65</v>
      </c>
      <c r="E32" s="200" t="s">
        <v>65</v>
      </c>
      <c r="F32" s="201" t="s">
        <v>65</v>
      </c>
      <c r="G32" s="58"/>
    </row>
    <row r="33" spans="1:7" ht="18" hidden="1" x14ac:dyDescent="0.4">
      <c r="A33" s="14" t="s">
        <v>11</v>
      </c>
      <c r="B33" s="99" t="s">
        <v>97</v>
      </c>
      <c r="C33" s="199" t="s">
        <v>65</v>
      </c>
      <c r="D33" s="200" t="s">
        <v>65</v>
      </c>
      <c r="E33" s="200" t="s">
        <v>65</v>
      </c>
      <c r="F33" s="201" t="s">
        <v>65</v>
      </c>
      <c r="G33" s="58"/>
    </row>
    <row r="34" spans="1:7" ht="18" hidden="1" x14ac:dyDescent="0.4">
      <c r="A34" s="14" t="s">
        <v>12</v>
      </c>
      <c r="B34" s="99" t="s">
        <v>97</v>
      </c>
      <c r="C34" s="199" t="s">
        <v>65</v>
      </c>
      <c r="D34" s="200" t="s">
        <v>65</v>
      </c>
      <c r="E34" s="200" t="s">
        <v>65</v>
      </c>
      <c r="F34" s="201" t="s">
        <v>65</v>
      </c>
      <c r="G34" s="58"/>
    </row>
    <row r="35" spans="1:7" ht="18" hidden="1" x14ac:dyDescent="0.4">
      <c r="A35" s="14" t="s">
        <v>13</v>
      </c>
      <c r="B35" s="99" t="s">
        <v>97</v>
      </c>
      <c r="C35" s="293">
        <v>40554.620000000003</v>
      </c>
      <c r="D35" s="285">
        <v>59409.79</v>
      </c>
      <c r="E35" s="285">
        <v>56898.400000000001</v>
      </c>
      <c r="F35" s="297">
        <v>54271.26</v>
      </c>
      <c r="G35" s="58"/>
    </row>
    <row r="36" spans="1:7" ht="18" hidden="1" x14ac:dyDescent="0.4">
      <c r="A36" s="14" t="s">
        <v>14</v>
      </c>
      <c r="B36" s="99" t="s">
        <v>97</v>
      </c>
      <c r="C36" s="296">
        <v>48392.04</v>
      </c>
      <c r="D36" s="287" t="s">
        <v>65</v>
      </c>
      <c r="E36" s="287" t="s">
        <v>65</v>
      </c>
      <c r="F36" s="297" t="s">
        <v>65</v>
      </c>
      <c r="G36" s="58"/>
    </row>
    <row r="37" spans="1:7" ht="18" hidden="1" x14ac:dyDescent="0.4">
      <c r="A37" s="14" t="s">
        <v>15</v>
      </c>
      <c r="B37" s="99" t="s">
        <v>97</v>
      </c>
      <c r="C37" s="293">
        <v>43168.24</v>
      </c>
      <c r="D37" s="285" t="s">
        <v>65</v>
      </c>
      <c r="E37" s="285" t="s">
        <v>65</v>
      </c>
      <c r="F37" s="292" t="s">
        <v>65</v>
      </c>
      <c r="G37" s="58"/>
    </row>
    <row r="38" spans="1:7" ht="18" hidden="1" x14ac:dyDescent="0.4">
      <c r="A38" s="14" t="s">
        <v>16</v>
      </c>
      <c r="B38" s="99" t="s">
        <v>97</v>
      </c>
      <c r="C38" s="199" t="s">
        <v>65</v>
      </c>
      <c r="D38" s="200" t="s">
        <v>65</v>
      </c>
      <c r="E38" s="200" t="s">
        <v>65</v>
      </c>
      <c r="F38" s="201" t="s">
        <v>65</v>
      </c>
      <c r="G38" s="58"/>
    </row>
    <row r="39" spans="1:7" ht="18" hidden="1" x14ac:dyDescent="0.4">
      <c r="A39" s="14" t="s">
        <v>17</v>
      </c>
      <c r="B39" s="99" t="s">
        <v>97</v>
      </c>
      <c r="C39" s="199" t="s">
        <v>65</v>
      </c>
      <c r="D39" s="200">
        <v>26204.09</v>
      </c>
      <c r="E39" s="200">
        <v>17481</v>
      </c>
      <c r="F39" s="21">
        <v>20469</v>
      </c>
      <c r="G39" s="58"/>
    </row>
    <row r="40" spans="1:7" ht="18" hidden="1" x14ac:dyDescent="0.4">
      <c r="A40" s="14" t="s">
        <v>18</v>
      </c>
      <c r="B40" s="99" t="s">
        <v>97</v>
      </c>
      <c r="C40" s="199">
        <v>42660</v>
      </c>
      <c r="D40" s="200" t="s">
        <v>65</v>
      </c>
      <c r="E40" s="200">
        <v>0</v>
      </c>
      <c r="F40" s="201" t="s">
        <v>65</v>
      </c>
      <c r="G40" s="58"/>
    </row>
    <row r="41" spans="1:7" ht="18" hidden="1" x14ac:dyDescent="0.4">
      <c r="A41" s="14" t="s">
        <v>19</v>
      </c>
      <c r="B41" s="99" t="s">
        <v>97</v>
      </c>
      <c r="C41" s="55">
        <v>75845.55</v>
      </c>
      <c r="D41" s="56" t="s">
        <v>65</v>
      </c>
      <c r="E41" s="56">
        <v>31839</v>
      </c>
      <c r="F41" s="57" t="s">
        <v>65</v>
      </c>
      <c r="G41" s="58"/>
    </row>
    <row r="42" spans="1:7" ht="18.75" hidden="1" thickBot="1" x14ac:dyDescent="0.45">
      <c r="A42" s="27" t="s">
        <v>20</v>
      </c>
      <c r="B42" s="99" t="s">
        <v>97</v>
      </c>
      <c r="C42" s="298">
        <v>10518.04</v>
      </c>
      <c r="D42" s="299" t="s">
        <v>65</v>
      </c>
      <c r="E42" s="299">
        <v>56351</v>
      </c>
      <c r="F42" s="300" t="s">
        <v>65</v>
      </c>
      <c r="G42" s="58"/>
    </row>
    <row r="43" spans="1:7" ht="18.75" hidden="1" thickBot="1" x14ac:dyDescent="0.45">
      <c r="A43" s="34" t="s">
        <v>108</v>
      </c>
      <c r="B43" s="111" t="s">
        <v>97</v>
      </c>
      <c r="C43" s="282">
        <f>SUM(C23:C42)</f>
        <v>473129.68999999994</v>
      </c>
      <c r="D43" s="283">
        <f t="shared" ref="D43" si="0">SUM(D23:D42)</f>
        <v>292292.48000000004</v>
      </c>
      <c r="E43" s="283">
        <f t="shared" ref="E43" si="1">SUM(E23:E42)</f>
        <v>411924.45</v>
      </c>
      <c r="F43" s="284">
        <f t="shared" ref="F43" si="2">SUM(F23:F42)</f>
        <v>362138.88</v>
      </c>
    </row>
    <row r="44" spans="1:7" ht="18.75" hidden="1" thickBot="1" x14ac:dyDescent="0.45">
      <c r="A44" s="34" t="s">
        <v>40</v>
      </c>
      <c r="B44" s="111" t="s">
        <v>97</v>
      </c>
      <c r="C44" s="279">
        <f>AVERAGE(C23:C42)</f>
        <v>39427.47416666666</v>
      </c>
      <c r="D44" s="280">
        <f>AVERAGE(D23:D42)</f>
        <v>48715.413333333338</v>
      </c>
      <c r="E44" s="280">
        <f>AVERAGE(E23:E42)</f>
        <v>45769.383333333331</v>
      </c>
      <c r="F44" s="281">
        <f t="shared" ref="F44" si="3">AVERAGE(F23:F42)</f>
        <v>72427.775999999998</v>
      </c>
    </row>
    <row r="45" spans="1:7" ht="18.75" hidden="1" thickBot="1" x14ac:dyDescent="0.45">
      <c r="A45" s="35" t="s">
        <v>41</v>
      </c>
      <c r="B45" s="146" t="s">
        <v>97</v>
      </c>
      <c r="C45" s="276">
        <f>MEDIAN(C23:C42)</f>
        <v>33816.130000000005</v>
      </c>
      <c r="D45" s="277">
        <f t="shared" ref="D45" si="4">MEDIAN(D23:D42)</f>
        <v>28792.544999999998</v>
      </c>
      <c r="E45" s="277">
        <f>MEDIAN(E23:E42)</f>
        <v>17481</v>
      </c>
      <c r="F45" s="278">
        <f t="shared" ref="F45" si="5">MEDIAN(F23:F42)</f>
        <v>24875.99</v>
      </c>
    </row>
    <row r="46" spans="1:7" x14ac:dyDescent="0.25">
      <c r="A46" s="135"/>
      <c r="B46" s="135"/>
    </row>
    <row r="47" spans="1:7" x14ac:dyDescent="0.25">
      <c r="A47" s="135"/>
      <c r="B47" s="135"/>
    </row>
    <row r="48" spans="1:7" x14ac:dyDescent="0.25">
      <c r="A48" s="135"/>
      <c r="B48" s="135"/>
    </row>
    <row r="49" spans="1:2" x14ac:dyDescent="0.25">
      <c r="A49" s="135"/>
      <c r="B49" s="135"/>
    </row>
    <row r="50" spans="1:2" x14ac:dyDescent="0.25">
      <c r="A50" s="135"/>
      <c r="B50" s="135"/>
    </row>
    <row r="51" spans="1:2" x14ac:dyDescent="0.25">
      <c r="A51" s="135"/>
      <c r="B51" s="135"/>
    </row>
    <row r="52" spans="1:2" x14ac:dyDescent="0.25">
      <c r="A52" s="135"/>
      <c r="B52" s="135"/>
    </row>
    <row r="53" spans="1:2" x14ac:dyDescent="0.25">
      <c r="A53" s="135"/>
      <c r="B53" s="135"/>
    </row>
    <row r="54" spans="1:2" x14ac:dyDescent="0.25">
      <c r="A54" s="135"/>
      <c r="B54" s="135"/>
    </row>
    <row r="55" spans="1:2" x14ac:dyDescent="0.25">
      <c r="A55" s="135"/>
      <c r="B55" s="135"/>
    </row>
    <row r="56" spans="1:2" x14ac:dyDescent="0.25">
      <c r="A56" s="135"/>
      <c r="B56" s="135"/>
    </row>
    <row r="57" spans="1:2" x14ac:dyDescent="0.25">
      <c r="A57" s="135"/>
      <c r="B57" s="135"/>
    </row>
    <row r="58" spans="1:2" x14ac:dyDescent="0.25">
      <c r="A58" s="135"/>
      <c r="B58" s="135"/>
    </row>
    <row r="59" spans="1:2" x14ac:dyDescent="0.25">
      <c r="A59" s="135"/>
      <c r="B59" s="135"/>
    </row>
    <row r="60" spans="1:2" x14ac:dyDescent="0.25">
      <c r="A60" s="135"/>
      <c r="B60" s="135"/>
    </row>
    <row r="61" spans="1:2" x14ac:dyDescent="0.25">
      <c r="A61" s="135"/>
      <c r="B61" s="135"/>
    </row>
    <row r="62" spans="1:2" x14ac:dyDescent="0.25">
      <c r="A62" s="135"/>
      <c r="B62" s="135"/>
    </row>
    <row r="63" spans="1:2" x14ac:dyDescent="0.25">
      <c r="A63" s="135"/>
      <c r="B63" s="135"/>
    </row>
    <row r="64" spans="1:2" x14ac:dyDescent="0.25">
      <c r="A64" s="135"/>
      <c r="B64" s="135"/>
    </row>
    <row r="65" spans="1:2" x14ac:dyDescent="0.25">
      <c r="A65" s="135"/>
      <c r="B65" s="135"/>
    </row>
    <row r="66" spans="1:2" x14ac:dyDescent="0.25">
      <c r="A66" s="135"/>
      <c r="B66" s="135"/>
    </row>
    <row r="67" spans="1:2" x14ac:dyDescent="0.25">
      <c r="A67" s="135"/>
      <c r="B67" s="135"/>
    </row>
    <row r="68" spans="1:2" x14ac:dyDescent="0.25">
      <c r="A68" s="135"/>
      <c r="B68" s="135"/>
    </row>
    <row r="69" spans="1:2" x14ac:dyDescent="0.25">
      <c r="A69" s="135"/>
      <c r="B69" s="135"/>
    </row>
    <row r="70" spans="1:2" x14ac:dyDescent="0.25">
      <c r="A70" s="135"/>
      <c r="B70" s="135"/>
    </row>
    <row r="71" spans="1:2" x14ac:dyDescent="0.25">
      <c r="A71" s="135"/>
      <c r="B71" s="135"/>
    </row>
    <row r="72" spans="1:2" x14ac:dyDescent="0.25">
      <c r="A72" s="135"/>
      <c r="B72" s="135"/>
    </row>
    <row r="73" spans="1:2" x14ac:dyDescent="0.25">
      <c r="A73" s="135"/>
      <c r="B73" s="135"/>
    </row>
    <row r="74" spans="1:2" x14ac:dyDescent="0.25">
      <c r="A74" s="135"/>
      <c r="B74" s="135"/>
    </row>
    <row r="75" spans="1:2" x14ac:dyDescent="0.25">
      <c r="A75" s="135"/>
      <c r="B75" s="135"/>
    </row>
    <row r="76" spans="1:2" x14ac:dyDescent="0.25">
      <c r="A76" s="135"/>
      <c r="B76" s="135"/>
    </row>
    <row r="77" spans="1:2" x14ac:dyDescent="0.25">
      <c r="A77" s="135"/>
      <c r="B77" s="135"/>
    </row>
    <row r="78" spans="1:2" x14ac:dyDescent="0.25">
      <c r="A78" s="135"/>
      <c r="B78" s="135"/>
    </row>
    <row r="79" spans="1:2" x14ac:dyDescent="0.25">
      <c r="A79" s="135"/>
      <c r="B79" s="135"/>
    </row>
    <row r="80" spans="1:2" x14ac:dyDescent="0.25">
      <c r="A80" s="135"/>
      <c r="B80" s="135"/>
    </row>
    <row r="81" spans="1:2" x14ac:dyDescent="0.25">
      <c r="A81" s="135"/>
      <c r="B81" s="135"/>
    </row>
    <row r="82" spans="1:2" x14ac:dyDescent="0.25">
      <c r="A82" s="135"/>
      <c r="B82" s="135"/>
    </row>
    <row r="83" spans="1:2" x14ac:dyDescent="0.25">
      <c r="A83" s="135"/>
      <c r="B83" s="135"/>
    </row>
    <row r="84" spans="1:2" x14ac:dyDescent="0.25">
      <c r="A84" s="135"/>
      <c r="B84" s="135"/>
    </row>
    <row r="85" spans="1:2" x14ac:dyDescent="0.25">
      <c r="A85" s="135"/>
      <c r="B85" s="135"/>
    </row>
    <row r="86" spans="1:2" x14ac:dyDescent="0.25">
      <c r="A86" s="135"/>
      <c r="B86" s="135"/>
    </row>
    <row r="87" spans="1:2" x14ac:dyDescent="0.25">
      <c r="A87" s="135"/>
      <c r="B87" s="135"/>
    </row>
    <row r="88" spans="1:2" x14ac:dyDescent="0.25">
      <c r="A88" s="135"/>
      <c r="B88" s="135"/>
    </row>
    <row r="89" spans="1:2" x14ac:dyDescent="0.25">
      <c r="A89" s="135"/>
      <c r="B89" s="135"/>
    </row>
    <row r="90" spans="1:2" x14ac:dyDescent="0.25">
      <c r="A90" s="135"/>
      <c r="B90" s="135"/>
    </row>
    <row r="91" spans="1:2" x14ac:dyDescent="0.25">
      <c r="A91" s="135"/>
      <c r="B91" s="135"/>
    </row>
    <row r="92" spans="1:2" x14ac:dyDescent="0.25">
      <c r="A92" s="135"/>
      <c r="B92" s="135"/>
    </row>
    <row r="93" spans="1:2" x14ac:dyDescent="0.25">
      <c r="A93" s="135"/>
      <c r="B93" s="135"/>
    </row>
    <row r="94" spans="1:2" x14ac:dyDescent="0.25">
      <c r="A94" s="135"/>
      <c r="B94" s="135"/>
    </row>
    <row r="95" spans="1:2" x14ac:dyDescent="0.25">
      <c r="A95" s="135"/>
      <c r="B95" s="135"/>
    </row>
    <row r="96" spans="1:2" x14ac:dyDescent="0.25">
      <c r="A96" s="135"/>
      <c r="B96" s="135"/>
    </row>
    <row r="97" spans="1:2" x14ac:dyDescent="0.25">
      <c r="A97" s="135"/>
      <c r="B97" s="135"/>
    </row>
    <row r="98" spans="1:2" x14ac:dyDescent="0.25">
      <c r="A98" s="135"/>
      <c r="B98" s="135"/>
    </row>
    <row r="99" spans="1:2" x14ac:dyDescent="0.25">
      <c r="A99" s="135"/>
      <c r="B99" s="135"/>
    </row>
    <row r="100" spans="1:2" x14ac:dyDescent="0.25">
      <c r="A100" s="135"/>
      <c r="B100" s="135"/>
    </row>
    <row r="101" spans="1:2" x14ac:dyDescent="0.25">
      <c r="A101" s="135"/>
      <c r="B101" s="135"/>
    </row>
    <row r="102" spans="1:2" x14ac:dyDescent="0.25">
      <c r="A102" s="135"/>
      <c r="B102" s="135"/>
    </row>
    <row r="103" spans="1:2" x14ac:dyDescent="0.25">
      <c r="A103" s="135"/>
      <c r="B103" s="135"/>
    </row>
    <row r="104" spans="1:2" x14ac:dyDescent="0.25">
      <c r="A104" s="135"/>
      <c r="B104" s="135"/>
    </row>
    <row r="105" spans="1:2" x14ac:dyDescent="0.25">
      <c r="A105" s="135"/>
      <c r="B105" s="135"/>
    </row>
    <row r="106" spans="1:2" x14ac:dyDescent="0.25">
      <c r="A106" s="135"/>
      <c r="B106" s="135"/>
    </row>
    <row r="107" spans="1:2" x14ac:dyDescent="0.25">
      <c r="A107" s="135"/>
      <c r="B107" s="135"/>
    </row>
    <row r="108" spans="1:2" x14ac:dyDescent="0.25">
      <c r="A108" s="135"/>
      <c r="B108" s="135"/>
    </row>
    <row r="109" spans="1:2" x14ac:dyDescent="0.25">
      <c r="A109" s="135"/>
      <c r="B109" s="135"/>
    </row>
    <row r="110" spans="1:2" x14ac:dyDescent="0.25">
      <c r="A110" s="135"/>
      <c r="B110" s="135"/>
    </row>
    <row r="111" spans="1:2" x14ac:dyDescent="0.25">
      <c r="A111" s="135"/>
      <c r="B111" s="135"/>
    </row>
    <row r="112" spans="1:2" x14ac:dyDescent="0.25">
      <c r="A112" s="135"/>
      <c r="B112" s="135"/>
    </row>
    <row r="113" spans="1:2" x14ac:dyDescent="0.25">
      <c r="A113" s="135"/>
      <c r="B113" s="135"/>
    </row>
    <row r="114" spans="1:2" x14ac:dyDescent="0.25">
      <c r="A114" s="135"/>
      <c r="B114" s="135"/>
    </row>
    <row r="115" spans="1:2" x14ac:dyDescent="0.25">
      <c r="A115" s="135"/>
      <c r="B115" s="135"/>
    </row>
    <row r="116" spans="1:2" x14ac:dyDescent="0.25">
      <c r="A116" s="135"/>
      <c r="B116" s="135"/>
    </row>
    <row r="117" spans="1:2" x14ac:dyDescent="0.25">
      <c r="A117" s="135"/>
      <c r="B117" s="135"/>
    </row>
    <row r="118" spans="1:2" x14ac:dyDescent="0.25">
      <c r="A118" s="135"/>
      <c r="B118" s="135"/>
    </row>
    <row r="119" spans="1:2" x14ac:dyDescent="0.25">
      <c r="A119" s="135"/>
      <c r="B119" s="135"/>
    </row>
    <row r="120" spans="1:2" x14ac:dyDescent="0.25">
      <c r="A120" s="135"/>
      <c r="B120" s="135"/>
    </row>
    <row r="121" spans="1:2" x14ac:dyDescent="0.25">
      <c r="A121" s="135"/>
      <c r="B121" s="135"/>
    </row>
    <row r="122" spans="1:2" x14ac:dyDescent="0.25">
      <c r="A122" s="135"/>
      <c r="B122" s="135"/>
    </row>
    <row r="123" spans="1:2" x14ac:dyDescent="0.25">
      <c r="A123" s="135"/>
      <c r="B123" s="135"/>
    </row>
    <row r="124" spans="1:2" x14ac:dyDescent="0.25">
      <c r="A124" s="135"/>
      <c r="B124" s="135"/>
    </row>
    <row r="125" spans="1:2" x14ac:dyDescent="0.25">
      <c r="A125" s="135"/>
      <c r="B125" s="135"/>
    </row>
    <row r="126" spans="1:2" x14ac:dyDescent="0.25">
      <c r="A126" s="135"/>
      <c r="B126" s="135"/>
    </row>
    <row r="127" spans="1:2" x14ac:dyDescent="0.25">
      <c r="A127" s="135"/>
      <c r="B127" s="135"/>
    </row>
    <row r="128" spans="1:2" x14ac:dyDescent="0.25">
      <c r="A128" s="135"/>
      <c r="B128" s="135"/>
    </row>
    <row r="129" spans="1:2" x14ac:dyDescent="0.25">
      <c r="A129" s="135"/>
      <c r="B129" s="135"/>
    </row>
    <row r="130" spans="1:2" x14ac:dyDescent="0.25">
      <c r="A130" s="135"/>
      <c r="B130" s="135"/>
    </row>
    <row r="131" spans="1:2" x14ac:dyDescent="0.25">
      <c r="A131" s="135"/>
      <c r="B131" s="135"/>
    </row>
    <row r="132" spans="1:2" x14ac:dyDescent="0.25">
      <c r="A132" s="135"/>
      <c r="B132" s="135"/>
    </row>
    <row r="133" spans="1:2" x14ac:dyDescent="0.25">
      <c r="A133" s="135"/>
      <c r="B133" s="135"/>
    </row>
    <row r="134" spans="1:2" x14ac:dyDescent="0.25">
      <c r="A134" s="135"/>
      <c r="B134" s="135"/>
    </row>
    <row r="135" spans="1:2" x14ac:dyDescent="0.25">
      <c r="A135" s="135"/>
      <c r="B135" s="135"/>
    </row>
    <row r="136" spans="1:2" x14ac:dyDescent="0.25">
      <c r="A136" s="135"/>
      <c r="B136" s="135"/>
    </row>
    <row r="137" spans="1:2" x14ac:dyDescent="0.25">
      <c r="A137" s="135"/>
      <c r="B137" s="135"/>
    </row>
    <row r="138" spans="1:2" x14ac:dyDescent="0.25">
      <c r="A138" s="135"/>
      <c r="B138" s="135"/>
    </row>
    <row r="139" spans="1:2" x14ac:dyDescent="0.25">
      <c r="A139" s="135"/>
      <c r="B139" s="135"/>
    </row>
    <row r="140" spans="1:2" x14ac:dyDescent="0.25">
      <c r="A140" s="135"/>
      <c r="B140" s="135"/>
    </row>
    <row r="141" spans="1:2" x14ac:dyDescent="0.25">
      <c r="A141" s="135"/>
      <c r="B141" s="135"/>
    </row>
    <row r="142" spans="1:2" x14ac:dyDescent="0.25">
      <c r="A142" s="135"/>
      <c r="B142" s="135"/>
    </row>
    <row r="143" spans="1:2" x14ac:dyDescent="0.25">
      <c r="A143" s="135"/>
      <c r="B143" s="135"/>
    </row>
    <row r="144" spans="1:2" x14ac:dyDescent="0.25">
      <c r="A144" s="135"/>
      <c r="B144" s="135"/>
    </row>
    <row r="145" spans="1:2" x14ac:dyDescent="0.25">
      <c r="A145" s="135"/>
      <c r="B145" s="135"/>
    </row>
    <row r="146" spans="1:2" x14ac:dyDescent="0.25">
      <c r="A146" s="135"/>
      <c r="B146" s="135"/>
    </row>
    <row r="147" spans="1:2" x14ac:dyDescent="0.25">
      <c r="A147" s="135"/>
      <c r="B147" s="135"/>
    </row>
    <row r="148" spans="1:2" x14ac:dyDescent="0.25">
      <c r="A148" s="135"/>
      <c r="B148" s="135"/>
    </row>
    <row r="149" spans="1:2" x14ac:dyDescent="0.25">
      <c r="A149" s="135"/>
      <c r="B149" s="135"/>
    </row>
    <row r="150" spans="1:2" x14ac:dyDescent="0.25">
      <c r="A150" s="135"/>
      <c r="B150" s="135"/>
    </row>
    <row r="151" spans="1:2" x14ac:dyDescent="0.25">
      <c r="A151" s="135"/>
      <c r="B151" s="135"/>
    </row>
    <row r="152" spans="1:2" x14ac:dyDescent="0.25">
      <c r="A152" s="135"/>
      <c r="B152" s="135"/>
    </row>
    <row r="153" spans="1:2" x14ac:dyDescent="0.25">
      <c r="A153" s="135"/>
      <c r="B153" s="135"/>
    </row>
    <row r="154" spans="1:2" x14ac:dyDescent="0.25">
      <c r="A154" s="135"/>
      <c r="B154" s="135"/>
    </row>
    <row r="155" spans="1:2" x14ac:dyDescent="0.25">
      <c r="A155" s="135"/>
      <c r="B155" s="135"/>
    </row>
    <row r="156" spans="1:2" x14ac:dyDescent="0.25">
      <c r="A156" s="135"/>
      <c r="B156" s="135"/>
    </row>
    <row r="157" spans="1:2" x14ac:dyDescent="0.25">
      <c r="A157" s="135"/>
      <c r="B157" s="135"/>
    </row>
    <row r="158" spans="1:2" x14ac:dyDescent="0.25">
      <c r="A158" s="135"/>
      <c r="B158" s="135"/>
    </row>
    <row r="159" spans="1:2" x14ac:dyDescent="0.25">
      <c r="A159" s="135"/>
      <c r="B159" s="135"/>
    </row>
    <row r="160" spans="1:2" x14ac:dyDescent="0.25">
      <c r="A160" s="135"/>
      <c r="B160" s="135"/>
    </row>
    <row r="161" spans="1:2" x14ac:dyDescent="0.25">
      <c r="A161" s="135"/>
      <c r="B161" s="135"/>
    </row>
    <row r="162" spans="1:2" x14ac:dyDescent="0.25">
      <c r="A162" s="135"/>
      <c r="B162" s="135"/>
    </row>
    <row r="163" spans="1:2" x14ac:dyDescent="0.25">
      <c r="A163" s="135"/>
      <c r="B163" s="135"/>
    </row>
    <row r="164" spans="1:2" x14ac:dyDescent="0.25">
      <c r="A164" s="135"/>
      <c r="B164" s="135"/>
    </row>
    <row r="165" spans="1:2" x14ac:dyDescent="0.25">
      <c r="A165" s="135"/>
      <c r="B165" s="135"/>
    </row>
    <row r="166" spans="1:2" x14ac:dyDescent="0.25">
      <c r="A166" s="135"/>
      <c r="B166" s="135"/>
    </row>
    <row r="167" spans="1:2" x14ac:dyDescent="0.25">
      <c r="A167" s="135"/>
      <c r="B167" s="135"/>
    </row>
    <row r="168" spans="1:2" x14ac:dyDescent="0.25">
      <c r="A168" s="135"/>
      <c r="B168" s="135"/>
    </row>
    <row r="169" spans="1:2" x14ac:dyDescent="0.25">
      <c r="A169" s="135"/>
      <c r="B169" s="135"/>
    </row>
    <row r="170" spans="1:2" x14ac:dyDescent="0.25">
      <c r="A170" s="135"/>
      <c r="B170" s="135"/>
    </row>
    <row r="171" spans="1:2" x14ac:dyDescent="0.25">
      <c r="A171" s="135"/>
      <c r="B171" s="135"/>
    </row>
    <row r="172" spans="1:2" x14ac:dyDescent="0.25">
      <c r="A172" s="135"/>
      <c r="B172" s="135"/>
    </row>
    <row r="173" spans="1:2" x14ac:dyDescent="0.25">
      <c r="A173" s="135"/>
      <c r="B173" s="135"/>
    </row>
    <row r="174" spans="1:2" x14ac:dyDescent="0.25">
      <c r="A174" s="135"/>
      <c r="B174" s="135"/>
    </row>
    <row r="175" spans="1:2" x14ac:dyDescent="0.25">
      <c r="A175" s="135"/>
      <c r="B175" s="135"/>
    </row>
    <row r="176" spans="1:2" x14ac:dyDescent="0.25">
      <c r="A176" s="135"/>
      <c r="B176" s="135"/>
    </row>
    <row r="177" spans="1:2" x14ac:dyDescent="0.25">
      <c r="A177" s="135"/>
      <c r="B177" s="135"/>
    </row>
    <row r="178" spans="1:2" x14ac:dyDescent="0.25">
      <c r="A178" s="135"/>
      <c r="B178" s="135"/>
    </row>
    <row r="179" spans="1:2" x14ac:dyDescent="0.25">
      <c r="A179" s="135"/>
      <c r="B179" s="135"/>
    </row>
    <row r="180" spans="1:2" x14ac:dyDescent="0.25">
      <c r="A180" s="135"/>
      <c r="B180" s="135"/>
    </row>
    <row r="181" spans="1:2" x14ac:dyDescent="0.25">
      <c r="A181" s="135"/>
      <c r="B181" s="135"/>
    </row>
    <row r="182" spans="1:2" x14ac:dyDescent="0.25">
      <c r="A182" s="135"/>
      <c r="B182" s="135"/>
    </row>
    <row r="183" spans="1:2" x14ac:dyDescent="0.25">
      <c r="A183" s="135"/>
      <c r="B183" s="135"/>
    </row>
    <row r="184" spans="1:2" x14ac:dyDescent="0.25">
      <c r="A184" s="135"/>
      <c r="B184" s="135"/>
    </row>
    <row r="185" spans="1:2" x14ac:dyDescent="0.25">
      <c r="A185" s="135"/>
      <c r="B185" s="135"/>
    </row>
    <row r="186" spans="1:2" x14ac:dyDescent="0.25">
      <c r="A186" s="135"/>
      <c r="B186" s="135"/>
    </row>
    <row r="187" spans="1:2" x14ac:dyDescent="0.25">
      <c r="A187" s="135"/>
      <c r="B187" s="135"/>
    </row>
    <row r="188" spans="1:2" x14ac:dyDescent="0.25">
      <c r="A188" s="135"/>
      <c r="B188" s="135"/>
    </row>
    <row r="189" spans="1:2" x14ac:dyDescent="0.25">
      <c r="A189" s="135"/>
      <c r="B189" s="135"/>
    </row>
    <row r="190" spans="1:2" x14ac:dyDescent="0.25">
      <c r="A190" s="135"/>
      <c r="B190" s="135"/>
    </row>
    <row r="191" spans="1:2" x14ac:dyDescent="0.25">
      <c r="A191" s="135"/>
      <c r="B191" s="135"/>
    </row>
    <row r="192" spans="1:2" x14ac:dyDescent="0.25">
      <c r="A192" s="135"/>
      <c r="B192" s="135"/>
    </row>
    <row r="193" spans="1:2" x14ac:dyDescent="0.25">
      <c r="A193" s="135"/>
      <c r="B193" s="135"/>
    </row>
    <row r="194" spans="1:2" x14ac:dyDescent="0.25">
      <c r="A194" s="135"/>
      <c r="B194" s="135"/>
    </row>
    <row r="195" spans="1:2" x14ac:dyDescent="0.25">
      <c r="A195" s="135"/>
      <c r="B195" s="135"/>
    </row>
    <row r="196" spans="1:2" x14ac:dyDescent="0.25">
      <c r="A196" s="135"/>
      <c r="B196" s="135"/>
    </row>
    <row r="197" spans="1:2" x14ac:dyDescent="0.25">
      <c r="A197" s="135"/>
      <c r="B197" s="135"/>
    </row>
    <row r="198" spans="1:2" x14ac:dyDescent="0.25">
      <c r="A198" s="135"/>
      <c r="B198" s="135"/>
    </row>
    <row r="199" spans="1:2" x14ac:dyDescent="0.25">
      <c r="A199" s="135"/>
      <c r="B199" s="135"/>
    </row>
    <row r="200" spans="1:2" x14ac:dyDescent="0.25">
      <c r="A200" s="135"/>
      <c r="B200" s="135"/>
    </row>
    <row r="201" spans="1:2" x14ac:dyDescent="0.25">
      <c r="A201" s="135"/>
      <c r="B201" s="135"/>
    </row>
    <row r="202" spans="1:2" x14ac:dyDescent="0.25">
      <c r="A202" s="135"/>
      <c r="B202" s="135"/>
    </row>
    <row r="203" spans="1:2" x14ac:dyDescent="0.25">
      <c r="A203" s="135"/>
      <c r="B203" s="135"/>
    </row>
    <row r="204" spans="1:2" x14ac:dyDescent="0.25">
      <c r="A204" s="135"/>
      <c r="B204" s="135"/>
    </row>
    <row r="205" spans="1:2" x14ac:dyDescent="0.25">
      <c r="A205" s="135"/>
      <c r="B205" s="135"/>
    </row>
    <row r="206" spans="1:2" x14ac:dyDescent="0.25">
      <c r="A206" s="135"/>
      <c r="B206" s="135"/>
    </row>
    <row r="207" spans="1:2" x14ac:dyDescent="0.25">
      <c r="A207" s="135"/>
      <c r="B207" s="135"/>
    </row>
    <row r="208" spans="1:2" x14ac:dyDescent="0.25">
      <c r="A208" s="135"/>
      <c r="B208" s="135"/>
    </row>
    <row r="209" spans="1:2" x14ac:dyDescent="0.25">
      <c r="A209" s="135"/>
      <c r="B209" s="135"/>
    </row>
    <row r="210" spans="1:2" x14ac:dyDescent="0.25">
      <c r="A210" s="135"/>
      <c r="B210" s="135"/>
    </row>
    <row r="211" spans="1:2" x14ac:dyDescent="0.25">
      <c r="A211" s="135"/>
      <c r="B211" s="135"/>
    </row>
    <row r="212" spans="1:2" x14ac:dyDescent="0.25">
      <c r="A212" s="135"/>
      <c r="B212" s="135"/>
    </row>
    <row r="213" spans="1:2" x14ac:dyDescent="0.25">
      <c r="A213" s="135"/>
      <c r="B213" s="135"/>
    </row>
    <row r="214" spans="1:2" x14ac:dyDescent="0.25">
      <c r="A214" s="135"/>
      <c r="B214" s="135"/>
    </row>
    <row r="215" spans="1:2" x14ac:dyDescent="0.25">
      <c r="A215" s="135"/>
      <c r="B215" s="135"/>
    </row>
    <row r="216" spans="1:2" x14ac:dyDescent="0.25">
      <c r="A216" s="135"/>
      <c r="B216" s="135"/>
    </row>
    <row r="217" spans="1:2" x14ac:dyDescent="0.25">
      <c r="A217" s="135"/>
      <c r="B217" s="135"/>
    </row>
    <row r="218" spans="1:2" x14ac:dyDescent="0.25">
      <c r="A218" s="135"/>
      <c r="B218" s="135"/>
    </row>
    <row r="219" spans="1:2" x14ac:dyDescent="0.25">
      <c r="A219" s="135"/>
      <c r="B219" s="135"/>
    </row>
    <row r="220" spans="1:2" x14ac:dyDescent="0.25">
      <c r="A220" s="135"/>
      <c r="B220" s="135"/>
    </row>
    <row r="221" spans="1:2" x14ac:dyDescent="0.25">
      <c r="A221" s="135"/>
      <c r="B221" s="135"/>
    </row>
    <row r="222" spans="1:2" x14ac:dyDescent="0.25">
      <c r="A222" s="135"/>
      <c r="B222" s="135"/>
    </row>
    <row r="223" spans="1:2" x14ac:dyDescent="0.25">
      <c r="A223" s="135"/>
      <c r="B223" s="135"/>
    </row>
    <row r="224" spans="1:2" x14ac:dyDescent="0.25">
      <c r="A224" s="135"/>
      <c r="B224" s="135"/>
    </row>
    <row r="225" spans="1:2" x14ac:dyDescent="0.25">
      <c r="A225" s="135"/>
      <c r="B225" s="135"/>
    </row>
    <row r="226" spans="1:2" x14ac:dyDescent="0.25">
      <c r="A226" s="135"/>
      <c r="B226" s="135"/>
    </row>
    <row r="227" spans="1:2" x14ac:dyDescent="0.25">
      <c r="A227" s="135"/>
      <c r="B227" s="135"/>
    </row>
    <row r="228" spans="1:2" x14ac:dyDescent="0.25">
      <c r="A228" s="135"/>
      <c r="B228" s="135"/>
    </row>
    <row r="229" spans="1:2" x14ac:dyDescent="0.25">
      <c r="A229" s="135"/>
      <c r="B229" s="135"/>
    </row>
    <row r="230" spans="1:2" x14ac:dyDescent="0.25">
      <c r="A230" s="135"/>
      <c r="B230" s="135"/>
    </row>
    <row r="231" spans="1:2" x14ac:dyDescent="0.25">
      <c r="A231" s="135"/>
      <c r="B231" s="135"/>
    </row>
    <row r="232" spans="1:2" x14ac:dyDescent="0.25">
      <c r="A232" s="135"/>
      <c r="B232" s="135"/>
    </row>
    <row r="233" spans="1:2" x14ac:dyDescent="0.25">
      <c r="A233" s="135"/>
      <c r="B233" s="135"/>
    </row>
    <row r="234" spans="1:2" x14ac:dyDescent="0.25">
      <c r="A234" s="135"/>
      <c r="B234" s="135"/>
    </row>
    <row r="235" spans="1:2" x14ac:dyDescent="0.25">
      <c r="A235" s="135"/>
      <c r="B235" s="135"/>
    </row>
    <row r="236" spans="1:2" x14ac:dyDescent="0.25">
      <c r="A236" s="135"/>
      <c r="B236" s="135"/>
    </row>
    <row r="237" spans="1:2" x14ac:dyDescent="0.25">
      <c r="A237" s="135"/>
      <c r="B237" s="135"/>
    </row>
    <row r="238" spans="1:2" x14ac:dyDescent="0.25">
      <c r="A238" s="135"/>
      <c r="B238" s="135"/>
    </row>
    <row r="239" spans="1:2" x14ac:dyDescent="0.25">
      <c r="A239" s="135"/>
      <c r="B239" s="135"/>
    </row>
    <row r="240" spans="1:2" x14ac:dyDescent="0.25">
      <c r="A240" s="135"/>
      <c r="B240" s="135"/>
    </row>
    <row r="241" spans="1:2" x14ac:dyDescent="0.25">
      <c r="A241" s="135"/>
      <c r="B241" s="135"/>
    </row>
    <row r="242" spans="1:2" x14ac:dyDescent="0.25">
      <c r="A242" s="135"/>
      <c r="B242" s="135"/>
    </row>
    <row r="243" spans="1:2" x14ac:dyDescent="0.25">
      <c r="A243" s="135"/>
      <c r="B243" s="135"/>
    </row>
    <row r="244" spans="1:2" x14ac:dyDescent="0.25">
      <c r="A244" s="135"/>
      <c r="B244" s="135"/>
    </row>
    <row r="245" spans="1:2" x14ac:dyDescent="0.25">
      <c r="A245" s="135"/>
      <c r="B245" s="135"/>
    </row>
    <row r="246" spans="1:2" x14ac:dyDescent="0.25">
      <c r="A246" s="135"/>
      <c r="B246" s="135"/>
    </row>
    <row r="247" spans="1:2" x14ac:dyDescent="0.25">
      <c r="A247" s="135"/>
      <c r="B247" s="135"/>
    </row>
    <row r="248" spans="1:2" x14ac:dyDescent="0.25">
      <c r="A248" s="135"/>
      <c r="B248" s="135"/>
    </row>
    <row r="249" spans="1:2" x14ac:dyDescent="0.25">
      <c r="A249" s="135"/>
      <c r="B249" s="135"/>
    </row>
    <row r="250" spans="1:2" x14ac:dyDescent="0.25">
      <c r="A250" s="135"/>
      <c r="B250" s="135"/>
    </row>
    <row r="251" spans="1:2" x14ac:dyDescent="0.25">
      <c r="A251" s="135"/>
      <c r="B251" s="135"/>
    </row>
    <row r="252" spans="1:2" x14ac:dyDescent="0.25">
      <c r="A252" s="135"/>
      <c r="B252" s="135"/>
    </row>
    <row r="253" spans="1:2" x14ac:dyDescent="0.25">
      <c r="A253" s="135"/>
      <c r="B253" s="135"/>
    </row>
    <row r="254" spans="1:2" x14ac:dyDescent="0.25">
      <c r="A254" s="135"/>
      <c r="B254" s="135"/>
    </row>
    <row r="255" spans="1:2" x14ac:dyDescent="0.25">
      <c r="A255" s="135"/>
      <c r="B255" s="135"/>
    </row>
    <row r="256" spans="1:2" x14ac:dyDescent="0.25">
      <c r="A256" s="135"/>
      <c r="B256" s="135"/>
    </row>
    <row r="257" spans="1:2" x14ac:dyDescent="0.25">
      <c r="A257" s="135"/>
      <c r="B257" s="135"/>
    </row>
    <row r="258" spans="1:2" x14ac:dyDescent="0.25">
      <c r="A258" s="135"/>
      <c r="B258" s="135"/>
    </row>
    <row r="259" spans="1:2" x14ac:dyDescent="0.25">
      <c r="A259" s="135"/>
      <c r="B259" s="135"/>
    </row>
    <row r="260" spans="1:2" x14ac:dyDescent="0.25">
      <c r="A260" s="135"/>
      <c r="B260" s="135"/>
    </row>
    <row r="261" spans="1:2" x14ac:dyDescent="0.25">
      <c r="A261" s="135"/>
      <c r="B261" s="135"/>
    </row>
    <row r="262" spans="1:2" x14ac:dyDescent="0.25">
      <c r="A262" s="135"/>
      <c r="B262" s="135"/>
    </row>
    <row r="263" spans="1:2" x14ac:dyDescent="0.25">
      <c r="A263" s="135"/>
      <c r="B263" s="135"/>
    </row>
    <row r="264" spans="1:2" x14ac:dyDescent="0.25">
      <c r="A264" s="135"/>
      <c r="B264" s="135"/>
    </row>
    <row r="265" spans="1:2" x14ac:dyDescent="0.25">
      <c r="A265" s="135"/>
      <c r="B265" s="135"/>
    </row>
    <row r="266" spans="1:2" x14ac:dyDescent="0.25">
      <c r="A266" s="135"/>
      <c r="B266" s="135"/>
    </row>
    <row r="267" spans="1:2" x14ac:dyDescent="0.25">
      <c r="A267" s="135"/>
      <c r="B267" s="135"/>
    </row>
    <row r="268" spans="1:2" x14ac:dyDescent="0.25">
      <c r="A268" s="135"/>
      <c r="B268" s="135"/>
    </row>
    <row r="269" spans="1:2" x14ac:dyDescent="0.25">
      <c r="A269" s="135"/>
      <c r="B269" s="135"/>
    </row>
    <row r="270" spans="1:2" x14ac:dyDescent="0.25">
      <c r="A270" s="135"/>
      <c r="B270" s="135"/>
    </row>
    <row r="271" spans="1:2" x14ac:dyDescent="0.25">
      <c r="A271" s="135"/>
      <c r="B271" s="135"/>
    </row>
    <row r="272" spans="1:2" x14ac:dyDescent="0.25">
      <c r="A272" s="135"/>
      <c r="B272" s="135"/>
    </row>
    <row r="273" spans="1:2" x14ac:dyDescent="0.25">
      <c r="A273" s="135"/>
      <c r="B273" s="135"/>
    </row>
    <row r="274" spans="1:2" x14ac:dyDescent="0.25">
      <c r="A274" s="135"/>
      <c r="B274" s="135"/>
    </row>
    <row r="275" spans="1:2" x14ac:dyDescent="0.25">
      <c r="A275" s="135"/>
      <c r="B275" s="135"/>
    </row>
    <row r="276" spans="1:2" x14ac:dyDescent="0.25">
      <c r="A276" s="135"/>
      <c r="B276" s="135"/>
    </row>
    <row r="277" spans="1:2" x14ac:dyDescent="0.25">
      <c r="A277" s="135"/>
      <c r="B277" s="135"/>
    </row>
    <row r="278" spans="1:2" x14ac:dyDescent="0.25">
      <c r="A278" s="135"/>
      <c r="B278" s="135"/>
    </row>
    <row r="279" spans="1:2" x14ac:dyDescent="0.25">
      <c r="A279" s="135"/>
      <c r="B279" s="135"/>
    </row>
    <row r="280" spans="1:2" s="58" customFormat="1" ht="12.75" x14ac:dyDescent="0.2"/>
    <row r="281" spans="1:2" s="58" customFormat="1" ht="12.75" x14ac:dyDescent="0.2"/>
    <row r="282" spans="1:2" s="58" customFormat="1" ht="12.75" x14ac:dyDescent="0.2"/>
    <row r="283" spans="1:2" s="58" customFormat="1" ht="12.75" x14ac:dyDescent="0.2"/>
    <row r="284" spans="1:2" s="58" customFormat="1" ht="12.75" x14ac:dyDescent="0.2"/>
    <row r="285" spans="1:2" s="58" customFormat="1" ht="12.75" x14ac:dyDescent="0.2"/>
    <row r="286" spans="1:2" s="58" customFormat="1" ht="12.75" x14ac:dyDescent="0.2"/>
    <row r="287" spans="1:2" s="58" customFormat="1" ht="12.75" x14ac:dyDescent="0.2"/>
    <row r="288" spans="1:2" s="58" customFormat="1" ht="12.75" x14ac:dyDescent="0.2"/>
    <row r="289" s="58" customFormat="1" ht="12.75" x14ac:dyDescent="0.2"/>
    <row r="290" s="58" customFormat="1" ht="12.75" x14ac:dyDescent="0.2"/>
    <row r="291" s="58" customFormat="1" ht="12.75" x14ac:dyDescent="0.2"/>
    <row r="292" s="58" customFormat="1" ht="12.75" x14ac:dyDescent="0.2"/>
    <row r="293" s="58" customFormat="1" ht="12.75" x14ac:dyDescent="0.2"/>
    <row r="294" s="58" customFormat="1" ht="12.75" x14ac:dyDescent="0.2"/>
    <row r="295" s="58" customFormat="1" ht="12.75" x14ac:dyDescent="0.2"/>
    <row r="296" s="58" customFormat="1" ht="12.75" x14ac:dyDescent="0.2"/>
    <row r="297" s="58" customFormat="1" ht="12.75" x14ac:dyDescent="0.2"/>
    <row r="298" s="58" customFormat="1" ht="12.75" x14ac:dyDescent="0.2"/>
    <row r="299" s="58" customFormat="1" ht="12.75" x14ac:dyDescent="0.2"/>
    <row r="300" s="58" customFormat="1" ht="12.75" x14ac:dyDescent="0.2"/>
    <row r="301" s="58" customFormat="1" ht="12.75" x14ac:dyDescent="0.2"/>
    <row r="302" s="58" customFormat="1" ht="12.75" x14ac:dyDescent="0.2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  <row r="307" s="58" customFormat="1" ht="12.75" x14ac:dyDescent="0.2"/>
    <row r="308" s="58" customFormat="1" ht="12.75" x14ac:dyDescent="0.2"/>
    <row r="309" s="58" customFormat="1" ht="12.75" x14ac:dyDescent="0.2"/>
    <row r="310" s="58" customFormat="1" ht="12.75" x14ac:dyDescent="0.2"/>
  </sheetData>
  <mergeCells count="1">
    <mergeCell ref="A1:F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825563E-959D-4E9D-8E6A-52C82C6E7EFC}">
          <x14:formula1>
            <xm:f>MESTRE!$A$2:$A$2096</xm:f>
          </x14:formula1>
          <xm:sqref>A106 A85 A126:A128 A64 A149:A151 A43:A45</xm:sqref>
        </x14:dataValidation>
        <x14:dataValidation type="list" allowBlank="1" showInputMessage="1" showErrorMessage="1" xr:uid="{702BF683-6BA2-4BB2-8092-5C108AC70BDE}">
          <x14:formula1>
            <xm:f>MESTRE!$A$2:$A$21</xm:f>
          </x14:formula1>
          <xm:sqref>A3:A22 A23:A42 A107:A125 A65:A84 A152:A307 A129:A148 A86:A105 A46:A63</xm:sqref>
        </x14:dataValidation>
        <x14:dataValidation type="list" allowBlank="1" showInputMessage="1" showErrorMessage="1" xr:uid="{81A7B0E1-094E-42E6-B67F-7CBB973311B2}">
          <x14:formula1>
            <xm:f>MESTRE!$C$2:$C$8</xm:f>
          </x14:formula1>
          <xm:sqref>B152:B568</xm:sqref>
        </x14:dataValidation>
        <x14:dataValidation type="list" allowBlank="1" showInputMessage="1" showErrorMessage="1" xr:uid="{FBFF33F9-76D9-45A5-8C7B-3EEC52B845A6}">
          <x14:formula1>
            <xm:f>MESTRE!$H$2:$H$3</xm:f>
          </x14:formula1>
          <xm:sqref>B3:B45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1275-2A34-428B-9076-759FB3A48A85}">
  <sheetPr>
    <tabColor rgb="FFD6E4F8"/>
  </sheetPr>
  <dimension ref="A1:G306"/>
  <sheetViews>
    <sheetView showGridLines="0" zoomScale="84" zoomScaleNormal="84" workbookViewId="0">
      <selection activeCell="E22" sqref="E22"/>
    </sheetView>
  </sheetViews>
  <sheetFormatPr baseColWidth="10" defaultRowHeight="15" x14ac:dyDescent="0.25"/>
  <cols>
    <col min="1" max="1" width="36" style="180" customWidth="1"/>
    <col min="2" max="2" width="24.28515625" style="180" hidden="1" customWidth="1"/>
    <col min="3" max="3" width="17.85546875" style="135" bestFit="1" customWidth="1"/>
    <col min="4" max="4" width="18.28515625" style="135" bestFit="1" customWidth="1"/>
    <col min="5" max="6" width="19.140625" style="135" bestFit="1" customWidth="1"/>
    <col min="7" max="7" width="16" customWidth="1"/>
    <col min="8" max="8" width="7.140625" customWidth="1"/>
    <col min="9" max="9" width="10.42578125" customWidth="1"/>
  </cols>
  <sheetData>
    <row r="1" spans="1:7" s="182" customFormat="1" ht="24" customHeight="1" thickBot="1" x14ac:dyDescent="0.35">
      <c r="A1" s="412" t="s">
        <v>94</v>
      </c>
      <c r="B1" s="413"/>
      <c r="C1" s="413"/>
      <c r="D1" s="413"/>
      <c r="E1" s="413"/>
      <c r="F1" s="413"/>
      <c r="G1" s="413"/>
    </row>
    <row r="2" spans="1:7" s="9" customFormat="1" ht="36" customHeight="1" thickBot="1" x14ac:dyDescent="0.3">
      <c r="A2" s="158" t="s">
        <v>0</v>
      </c>
      <c r="B2" s="158" t="s">
        <v>24</v>
      </c>
      <c r="C2" s="188" t="s">
        <v>32</v>
      </c>
      <c r="D2" s="189" t="s">
        <v>33</v>
      </c>
      <c r="E2" s="189" t="s">
        <v>34</v>
      </c>
      <c r="F2" s="190" t="s">
        <v>35</v>
      </c>
      <c r="G2" s="354" t="s">
        <v>121</v>
      </c>
    </row>
    <row r="3" spans="1:7" ht="18.75" hidden="1" thickBot="1" x14ac:dyDescent="0.45">
      <c r="A3" s="68" t="s">
        <v>1</v>
      </c>
      <c r="B3" s="73" t="s">
        <v>98</v>
      </c>
      <c r="C3" s="305" t="s">
        <v>65</v>
      </c>
      <c r="D3" s="309"/>
      <c r="E3" s="309">
        <v>4058.79</v>
      </c>
      <c r="F3" s="310">
        <v>3909.2</v>
      </c>
      <c r="G3" s="364"/>
    </row>
    <row r="4" spans="1:7" ht="18.75" hidden="1" thickBot="1" x14ac:dyDescent="0.45">
      <c r="A4" s="69" t="s">
        <v>2</v>
      </c>
      <c r="B4" s="74" t="s">
        <v>98</v>
      </c>
      <c r="C4" s="306" t="s">
        <v>65</v>
      </c>
      <c r="D4" s="311"/>
      <c r="E4" s="311"/>
      <c r="F4" s="312"/>
      <c r="G4" s="33"/>
    </row>
    <row r="5" spans="1:7" ht="18.75" hidden="1" thickBot="1" x14ac:dyDescent="0.45">
      <c r="A5" s="69" t="s">
        <v>3</v>
      </c>
      <c r="B5" s="74" t="s">
        <v>98</v>
      </c>
      <c r="C5" s="306" t="s">
        <v>65</v>
      </c>
      <c r="D5" s="311">
        <v>1252.5</v>
      </c>
      <c r="E5" s="311">
        <v>902</v>
      </c>
      <c r="F5" s="312"/>
      <c r="G5" s="33"/>
    </row>
    <row r="6" spans="1:7" ht="18.75" hidden="1" thickBot="1" x14ac:dyDescent="0.45">
      <c r="A6" s="69" t="s">
        <v>4</v>
      </c>
      <c r="B6" s="74" t="s">
        <v>98</v>
      </c>
      <c r="C6" s="306" t="s">
        <v>65</v>
      </c>
      <c r="D6" s="311" t="s">
        <v>118</v>
      </c>
      <c r="E6" s="311">
        <v>3098.33</v>
      </c>
      <c r="F6" s="312"/>
      <c r="G6" s="33"/>
    </row>
    <row r="7" spans="1:7" ht="18.75" hidden="1" thickBot="1" x14ac:dyDescent="0.45">
      <c r="A7" s="69" t="s">
        <v>5</v>
      </c>
      <c r="B7" s="74" t="s">
        <v>98</v>
      </c>
      <c r="C7" s="306" t="s">
        <v>65</v>
      </c>
      <c r="D7" s="311">
        <v>5592.02</v>
      </c>
      <c r="E7" s="311"/>
      <c r="F7" s="312"/>
      <c r="G7" s="33"/>
    </row>
    <row r="8" spans="1:7" ht="18.75" hidden="1" thickBot="1" x14ac:dyDescent="0.45">
      <c r="A8" s="69" t="s">
        <v>6</v>
      </c>
      <c r="B8" s="74" t="s">
        <v>98</v>
      </c>
      <c r="C8" s="306" t="s">
        <v>65</v>
      </c>
      <c r="D8" s="313"/>
      <c r="E8" s="313"/>
      <c r="F8" s="314">
        <v>1354.23</v>
      </c>
      <c r="G8" s="33"/>
    </row>
    <row r="9" spans="1:7" ht="18.75" hidden="1" thickBot="1" x14ac:dyDescent="0.45">
      <c r="A9" s="69" t="s">
        <v>7</v>
      </c>
      <c r="B9" s="74" t="s">
        <v>98</v>
      </c>
      <c r="C9" s="306" t="s">
        <v>65</v>
      </c>
      <c r="D9" s="311"/>
      <c r="E9" s="311"/>
      <c r="F9" s="312"/>
      <c r="G9" s="33"/>
    </row>
    <row r="10" spans="1:7" ht="18.75" hidden="1" thickBot="1" x14ac:dyDescent="0.45">
      <c r="A10" s="69" t="s">
        <v>8</v>
      </c>
      <c r="B10" s="74" t="s">
        <v>98</v>
      </c>
      <c r="C10" s="306" t="s">
        <v>65</v>
      </c>
      <c r="D10" s="311"/>
      <c r="E10" s="311" t="s">
        <v>119</v>
      </c>
      <c r="F10" s="312">
        <v>1649.42</v>
      </c>
      <c r="G10" s="33"/>
    </row>
    <row r="11" spans="1:7" ht="18.75" hidden="1" thickBot="1" x14ac:dyDescent="0.45">
      <c r="A11" s="69" t="s">
        <v>9</v>
      </c>
      <c r="B11" s="74" t="s">
        <v>98</v>
      </c>
      <c r="C11" s="306" t="s">
        <v>65</v>
      </c>
      <c r="D11" s="311"/>
      <c r="E11" s="311"/>
      <c r="F11" s="312"/>
      <c r="G11" s="33"/>
    </row>
    <row r="12" spans="1:7" ht="18.75" hidden="1" thickBot="1" x14ac:dyDescent="0.45">
      <c r="A12" s="69" t="s">
        <v>10</v>
      </c>
      <c r="B12" s="74" t="s">
        <v>98</v>
      </c>
      <c r="C12" s="306" t="s">
        <v>65</v>
      </c>
      <c r="D12" s="311"/>
      <c r="E12" s="311"/>
      <c r="F12" s="312"/>
      <c r="G12" s="33"/>
    </row>
    <row r="13" spans="1:7" ht="18.75" hidden="1" thickBot="1" x14ac:dyDescent="0.45">
      <c r="A13" s="69" t="s">
        <v>11</v>
      </c>
      <c r="B13" s="74" t="s">
        <v>98</v>
      </c>
      <c r="C13" s="306" t="s">
        <v>65</v>
      </c>
      <c r="D13" s="311"/>
      <c r="E13" s="311"/>
      <c r="F13" s="312"/>
      <c r="G13" s="33"/>
    </row>
    <row r="14" spans="1:7" ht="18.75" hidden="1" thickBot="1" x14ac:dyDescent="0.45">
      <c r="A14" s="69" t="s">
        <v>12</v>
      </c>
      <c r="B14" s="74" t="s">
        <v>98</v>
      </c>
      <c r="C14" s="306" t="s">
        <v>65</v>
      </c>
      <c r="D14" s="311"/>
      <c r="E14" s="311"/>
      <c r="F14" s="312"/>
      <c r="G14" s="33"/>
    </row>
    <row r="15" spans="1:7" ht="18.75" hidden="1" thickBot="1" x14ac:dyDescent="0.45">
      <c r="A15" s="69" t="s">
        <v>13</v>
      </c>
      <c r="B15" s="74" t="s">
        <v>98</v>
      </c>
      <c r="C15" s="306" t="s">
        <v>65</v>
      </c>
      <c r="D15" s="311">
        <v>2516.29</v>
      </c>
      <c r="E15" s="311">
        <v>2178.92</v>
      </c>
      <c r="F15" s="312">
        <v>1974.12</v>
      </c>
      <c r="G15" s="33"/>
    </row>
    <row r="16" spans="1:7" ht="18.75" hidden="1" thickBot="1" x14ac:dyDescent="0.45">
      <c r="A16" s="69" t="s">
        <v>14</v>
      </c>
      <c r="B16" s="74" t="s">
        <v>98</v>
      </c>
      <c r="C16" s="306" t="s">
        <v>65</v>
      </c>
      <c r="D16" s="311"/>
      <c r="E16" s="311"/>
      <c r="F16" s="312"/>
      <c r="G16" s="33"/>
    </row>
    <row r="17" spans="1:7" ht="18.75" hidden="1" thickBot="1" x14ac:dyDescent="0.45">
      <c r="A17" s="69" t="s">
        <v>15</v>
      </c>
      <c r="B17" s="74" t="s">
        <v>98</v>
      </c>
      <c r="C17" s="306" t="s">
        <v>65</v>
      </c>
      <c r="D17" s="311">
        <v>3655.297</v>
      </c>
      <c r="E17" s="311"/>
      <c r="F17" s="312"/>
      <c r="G17" s="33"/>
    </row>
    <row r="18" spans="1:7" ht="18.75" hidden="1" thickBot="1" x14ac:dyDescent="0.45">
      <c r="A18" s="69" t="s">
        <v>16</v>
      </c>
      <c r="B18" s="74" t="s">
        <v>98</v>
      </c>
      <c r="C18" s="307" t="s">
        <v>65</v>
      </c>
      <c r="D18" s="311"/>
      <c r="E18" s="311"/>
      <c r="F18" s="312"/>
      <c r="G18" s="33"/>
    </row>
    <row r="19" spans="1:7" ht="18.75" hidden="1" thickBot="1" x14ac:dyDescent="0.45">
      <c r="A19" s="69" t="s">
        <v>17</v>
      </c>
      <c r="B19" s="74" t="s">
        <v>98</v>
      </c>
      <c r="C19" s="306" t="s">
        <v>65</v>
      </c>
      <c r="D19" s="311" t="s">
        <v>120</v>
      </c>
      <c r="E19" s="311">
        <v>3000</v>
      </c>
      <c r="F19" s="312">
        <v>1246</v>
      </c>
      <c r="G19" s="33"/>
    </row>
    <row r="20" spans="1:7" ht="18.75" hidden="1" thickBot="1" x14ac:dyDescent="0.45">
      <c r="A20" s="69" t="s">
        <v>18</v>
      </c>
      <c r="B20" s="74" t="s">
        <v>98</v>
      </c>
      <c r="C20" s="306" t="s">
        <v>65</v>
      </c>
      <c r="D20" s="311"/>
      <c r="E20" s="311">
        <v>1624</v>
      </c>
      <c r="F20" s="312">
        <v>1761</v>
      </c>
      <c r="G20" s="33"/>
    </row>
    <row r="21" spans="1:7" ht="18.75" hidden="1" thickBot="1" x14ac:dyDescent="0.45">
      <c r="A21" s="69" t="s">
        <v>19</v>
      </c>
      <c r="B21" s="74" t="s">
        <v>98</v>
      </c>
      <c r="C21" s="306" t="s">
        <v>65</v>
      </c>
      <c r="D21" s="311"/>
      <c r="E21" s="311">
        <v>3498</v>
      </c>
      <c r="F21" s="312">
        <v>3312.32</v>
      </c>
      <c r="G21" s="33"/>
    </row>
    <row r="22" spans="1:7" ht="18.75" hidden="1" thickBot="1" x14ac:dyDescent="0.45">
      <c r="A22" s="70" t="s">
        <v>20</v>
      </c>
      <c r="B22" s="75" t="s">
        <v>98</v>
      </c>
      <c r="C22" s="308" t="s">
        <v>65</v>
      </c>
      <c r="D22" s="315"/>
      <c r="E22" s="317">
        <v>2.84</v>
      </c>
      <c r="F22" s="316"/>
      <c r="G22" s="33"/>
    </row>
    <row r="23" spans="1:7" ht="18.75" hidden="1" thickBot="1" x14ac:dyDescent="0.45">
      <c r="A23" s="25" t="s">
        <v>1</v>
      </c>
      <c r="B23" s="99" t="s">
        <v>99</v>
      </c>
      <c r="C23" s="288">
        <v>795353</v>
      </c>
      <c r="D23" s="289">
        <v>665372.68999999994</v>
      </c>
      <c r="E23" s="289">
        <v>1020537.4</v>
      </c>
      <c r="F23" s="379">
        <v>1174484.1100000001</v>
      </c>
      <c r="G23" s="33"/>
    </row>
    <row r="24" spans="1:7" ht="18.75" hidden="1" thickBot="1" x14ac:dyDescent="0.45">
      <c r="A24" s="14" t="s">
        <v>2</v>
      </c>
      <c r="B24" s="99" t="s">
        <v>99</v>
      </c>
      <c r="C24" s="293" t="s">
        <v>65</v>
      </c>
      <c r="D24" s="285" t="s">
        <v>65</v>
      </c>
      <c r="E24" s="285" t="s">
        <v>65</v>
      </c>
      <c r="F24" s="292" t="s">
        <v>65</v>
      </c>
      <c r="G24" s="33"/>
    </row>
    <row r="25" spans="1:7" ht="18.75" hidden="1" thickBot="1" x14ac:dyDescent="0.45">
      <c r="A25" s="14" t="s">
        <v>3</v>
      </c>
      <c r="B25" s="99" t="s">
        <v>99</v>
      </c>
      <c r="C25" s="293">
        <v>232178</v>
      </c>
      <c r="D25" s="285">
        <v>306086.63</v>
      </c>
      <c r="E25" s="285">
        <v>550000</v>
      </c>
      <c r="F25" s="292" t="s">
        <v>65</v>
      </c>
      <c r="G25" s="33"/>
    </row>
    <row r="26" spans="1:7" ht="18.75" hidden="1" thickBot="1" x14ac:dyDescent="0.45">
      <c r="A26" s="14" t="s">
        <v>4</v>
      </c>
      <c r="B26" s="99" t="s">
        <v>99</v>
      </c>
      <c r="C26" s="293">
        <v>722242</v>
      </c>
      <c r="D26" s="285">
        <v>677858</v>
      </c>
      <c r="E26" s="285">
        <v>704388.64</v>
      </c>
      <c r="F26" s="292" t="s">
        <v>65</v>
      </c>
      <c r="G26" s="36"/>
    </row>
    <row r="27" spans="1:7" ht="18.75" hidden="1" thickBot="1" x14ac:dyDescent="0.45">
      <c r="A27" s="14" t="s">
        <v>5</v>
      </c>
      <c r="B27" s="99" t="s">
        <v>99</v>
      </c>
      <c r="C27" s="293" t="s">
        <v>65</v>
      </c>
      <c r="D27" s="285" t="s">
        <v>65</v>
      </c>
      <c r="E27" s="285" t="s">
        <v>65</v>
      </c>
      <c r="F27" s="292" t="s">
        <v>65</v>
      </c>
      <c r="G27" s="36"/>
    </row>
    <row r="28" spans="1:7" ht="18.75" hidden="1" thickBot="1" x14ac:dyDescent="0.45">
      <c r="A28" s="14" t="s">
        <v>6</v>
      </c>
      <c r="B28" s="99" t="s">
        <v>99</v>
      </c>
      <c r="C28" s="294">
        <v>266411</v>
      </c>
      <c r="D28" s="286" t="s">
        <v>65</v>
      </c>
      <c r="E28" s="286" t="s">
        <v>65</v>
      </c>
      <c r="F28" s="318">
        <v>351494.38</v>
      </c>
      <c r="G28" s="36"/>
    </row>
    <row r="29" spans="1:7" ht="18.75" hidden="1" thickBot="1" x14ac:dyDescent="0.45">
      <c r="A29" s="14" t="s">
        <v>7</v>
      </c>
      <c r="B29" s="99" t="s">
        <v>99</v>
      </c>
      <c r="C29" s="293" t="s">
        <v>65</v>
      </c>
      <c r="D29" s="285" t="s">
        <v>65</v>
      </c>
      <c r="E29" s="285" t="s">
        <v>65</v>
      </c>
      <c r="F29" s="292" t="s">
        <v>65</v>
      </c>
      <c r="G29" s="36"/>
    </row>
    <row r="30" spans="1:7" ht="18.75" hidden="1" thickBot="1" x14ac:dyDescent="0.45">
      <c r="A30" s="14" t="s">
        <v>8</v>
      </c>
      <c r="B30" s="99" t="s">
        <v>99</v>
      </c>
      <c r="C30" s="293">
        <v>277594</v>
      </c>
      <c r="D30" s="285" t="s">
        <v>65</v>
      </c>
      <c r="E30" s="285">
        <v>213479</v>
      </c>
      <c r="F30" s="292">
        <v>471432.85</v>
      </c>
      <c r="G30" s="36"/>
    </row>
    <row r="31" spans="1:7" ht="18.75" hidden="1" thickBot="1" x14ac:dyDescent="0.45">
      <c r="A31" s="14" t="s">
        <v>9</v>
      </c>
      <c r="B31" s="99" t="s">
        <v>99</v>
      </c>
      <c r="C31" s="293">
        <v>2786</v>
      </c>
      <c r="D31" s="285">
        <v>2639.5</v>
      </c>
      <c r="E31" s="285" t="s">
        <v>65</v>
      </c>
      <c r="F31" s="292" t="s">
        <v>65</v>
      </c>
      <c r="G31" s="36"/>
    </row>
    <row r="32" spans="1:7" ht="18.75" hidden="1" thickBot="1" x14ac:dyDescent="0.45">
      <c r="A32" s="14" t="s">
        <v>10</v>
      </c>
      <c r="B32" s="99" t="s">
        <v>99</v>
      </c>
      <c r="C32" s="293" t="s">
        <v>65</v>
      </c>
      <c r="D32" s="285" t="s">
        <v>65</v>
      </c>
      <c r="E32" s="285" t="s">
        <v>65</v>
      </c>
      <c r="F32" s="292" t="s">
        <v>65</v>
      </c>
      <c r="G32" s="36"/>
    </row>
    <row r="33" spans="1:7" ht="18.75" hidden="1" thickBot="1" x14ac:dyDescent="0.45">
      <c r="A33" s="14" t="s">
        <v>11</v>
      </c>
      <c r="B33" s="99" t="s">
        <v>99</v>
      </c>
      <c r="C33" s="293" t="s">
        <v>65</v>
      </c>
      <c r="D33" s="285" t="s">
        <v>65</v>
      </c>
      <c r="E33" s="285" t="s">
        <v>65</v>
      </c>
      <c r="F33" s="292" t="s">
        <v>65</v>
      </c>
      <c r="G33" s="36"/>
    </row>
    <row r="34" spans="1:7" ht="18.75" hidden="1" thickBot="1" x14ac:dyDescent="0.45">
      <c r="A34" s="14" t="s">
        <v>12</v>
      </c>
      <c r="B34" s="99" t="s">
        <v>99</v>
      </c>
      <c r="C34" s="293" t="s">
        <v>65</v>
      </c>
      <c r="D34" s="285" t="s">
        <v>65</v>
      </c>
      <c r="E34" s="285" t="s">
        <v>65</v>
      </c>
      <c r="F34" s="292" t="s">
        <v>65</v>
      </c>
      <c r="G34" s="36"/>
    </row>
    <row r="35" spans="1:7" ht="18.75" hidden="1" thickBot="1" x14ac:dyDescent="0.45">
      <c r="A35" s="14" t="s">
        <v>13</v>
      </c>
      <c r="B35" s="99" t="s">
        <v>99</v>
      </c>
      <c r="C35" s="293">
        <v>387282</v>
      </c>
      <c r="D35" s="285">
        <v>381804</v>
      </c>
      <c r="E35" s="285">
        <v>433018.05</v>
      </c>
      <c r="F35" s="292">
        <v>754605.73</v>
      </c>
      <c r="G35" s="36"/>
    </row>
    <row r="36" spans="1:7" ht="18.75" hidden="1" thickBot="1" x14ac:dyDescent="0.45">
      <c r="A36" s="14" t="s">
        <v>14</v>
      </c>
      <c r="B36" s="99" t="s">
        <v>99</v>
      </c>
      <c r="C36" s="293">
        <v>307290</v>
      </c>
      <c r="D36" s="285" t="s">
        <v>65</v>
      </c>
      <c r="E36" s="285" t="s">
        <v>65</v>
      </c>
      <c r="F36" s="292" t="s">
        <v>65</v>
      </c>
      <c r="G36" s="36"/>
    </row>
    <row r="37" spans="1:7" ht="18.75" hidden="1" thickBot="1" x14ac:dyDescent="0.45">
      <c r="A37" s="14" t="s">
        <v>15</v>
      </c>
      <c r="B37" s="99" t="s">
        <v>99</v>
      </c>
      <c r="C37" s="293">
        <v>694948</v>
      </c>
      <c r="D37" s="285">
        <v>748088</v>
      </c>
      <c r="E37" s="285" t="s">
        <v>65</v>
      </c>
      <c r="F37" s="292" t="s">
        <v>65</v>
      </c>
      <c r="G37" s="36"/>
    </row>
    <row r="38" spans="1:7" ht="18.75" hidden="1" thickBot="1" x14ac:dyDescent="0.45">
      <c r="A38" s="14" t="s">
        <v>16</v>
      </c>
      <c r="B38" s="99" t="s">
        <v>99</v>
      </c>
      <c r="C38" s="293">
        <v>598277</v>
      </c>
      <c r="D38" s="285" t="s">
        <v>65</v>
      </c>
      <c r="E38" s="285" t="s">
        <v>65</v>
      </c>
      <c r="F38" s="292" t="s">
        <v>65</v>
      </c>
      <c r="G38" s="36"/>
    </row>
    <row r="39" spans="1:7" ht="18.75" hidden="1" thickBot="1" x14ac:dyDescent="0.45">
      <c r="A39" s="14" t="s">
        <v>17</v>
      </c>
      <c r="B39" s="99" t="s">
        <v>99</v>
      </c>
      <c r="C39" s="293" t="s">
        <v>65</v>
      </c>
      <c r="D39" s="285">
        <v>194690.48</v>
      </c>
      <c r="E39" s="285">
        <v>237584.37</v>
      </c>
      <c r="F39" s="292">
        <v>300000</v>
      </c>
      <c r="G39" s="36"/>
    </row>
    <row r="40" spans="1:7" ht="18.75" hidden="1" thickBot="1" x14ac:dyDescent="0.45">
      <c r="A40" s="14" t="s">
        <v>18</v>
      </c>
      <c r="B40" s="99" t="s">
        <v>99</v>
      </c>
      <c r="C40" s="293">
        <v>389247</v>
      </c>
      <c r="D40" s="285" t="s">
        <v>65</v>
      </c>
      <c r="E40" s="285">
        <v>330533.03000000003</v>
      </c>
      <c r="F40" s="292">
        <v>577845.98</v>
      </c>
      <c r="G40" s="36"/>
    </row>
    <row r="41" spans="1:7" ht="18.75" hidden="1" thickBot="1" x14ac:dyDescent="0.45">
      <c r="A41" s="14" t="s">
        <v>19</v>
      </c>
      <c r="B41" s="99" t="s">
        <v>99</v>
      </c>
      <c r="C41" s="293">
        <v>478752</v>
      </c>
      <c r="D41" s="285" t="s">
        <v>65</v>
      </c>
      <c r="E41" s="285">
        <v>702479</v>
      </c>
      <c r="F41" s="292">
        <v>1041933</v>
      </c>
      <c r="G41" s="36"/>
    </row>
    <row r="42" spans="1:7" ht="18.75" hidden="1" thickBot="1" x14ac:dyDescent="0.45">
      <c r="A42" s="27" t="s">
        <v>20</v>
      </c>
      <c r="B42" s="99" t="s">
        <v>99</v>
      </c>
      <c r="C42" s="319">
        <v>266195</v>
      </c>
      <c r="D42" s="320">
        <v>560000</v>
      </c>
      <c r="E42" s="320">
        <v>580000</v>
      </c>
      <c r="F42" s="321" t="s">
        <v>65</v>
      </c>
      <c r="G42" s="36"/>
    </row>
    <row r="43" spans="1:7" ht="18.75" hidden="1" thickBot="1" x14ac:dyDescent="0.45">
      <c r="A43" s="34" t="s">
        <v>110</v>
      </c>
      <c r="B43" s="111" t="s">
        <v>99</v>
      </c>
      <c r="C43" s="328">
        <f>SUM(C23:C42)</f>
        <v>5418555</v>
      </c>
      <c r="D43" s="329">
        <f t="shared" ref="D43:F43" si="0">SUM(D23:D42)</f>
        <v>3536539.3</v>
      </c>
      <c r="E43" s="329">
        <f t="shared" si="0"/>
        <v>4772019.49</v>
      </c>
      <c r="F43" s="330">
        <f t="shared" si="0"/>
        <v>4671796.0500000007</v>
      </c>
      <c r="G43" s="33"/>
    </row>
    <row r="44" spans="1:7" ht="18.75" hidden="1" thickBot="1" x14ac:dyDescent="0.45">
      <c r="A44" s="34" t="s">
        <v>40</v>
      </c>
      <c r="B44" s="111" t="s">
        <v>99</v>
      </c>
      <c r="C44" s="331">
        <f>AVERAGE(C23:C42)</f>
        <v>416811.92307692306</v>
      </c>
      <c r="D44" s="332">
        <f>AVERAGE(D23:D42)</f>
        <v>442067.41249999998</v>
      </c>
      <c r="E44" s="332">
        <f>AVERAGE(E23:E42)</f>
        <v>530224.38777777785</v>
      </c>
      <c r="F44" s="333">
        <f t="shared" ref="F44" si="1">AVERAGE(F23:F42)</f>
        <v>667399.43571428582</v>
      </c>
      <c r="G44" s="33"/>
    </row>
    <row r="45" spans="1:7" ht="18.75" hidden="1" thickBot="1" x14ac:dyDescent="0.45">
      <c r="A45" s="35" t="s">
        <v>41</v>
      </c>
      <c r="B45" s="146" t="s">
        <v>99</v>
      </c>
      <c r="C45" s="334">
        <f>MEDIAN(C23:C42)</f>
        <v>387282</v>
      </c>
      <c r="D45" s="335">
        <f t="shared" ref="D45" si="2">MEDIAN(D23:D42)</f>
        <v>470902</v>
      </c>
      <c r="E45" s="335">
        <f>MEDIAN(E23:E42)</f>
        <v>550000</v>
      </c>
      <c r="F45" s="336">
        <f t="shared" ref="F45" si="3">MEDIAN(F23:F42)</f>
        <v>577845.98</v>
      </c>
      <c r="G45" s="33"/>
    </row>
    <row r="46" spans="1:7" ht="18.75" hidden="1" thickBot="1" x14ac:dyDescent="0.45">
      <c r="A46" s="25" t="s">
        <v>1</v>
      </c>
      <c r="B46" s="99" t="s">
        <v>100</v>
      </c>
      <c r="C46" s="365">
        <v>20</v>
      </c>
      <c r="D46" s="366">
        <v>20</v>
      </c>
      <c r="E46" s="366">
        <v>20</v>
      </c>
      <c r="F46" s="367">
        <v>20</v>
      </c>
      <c r="G46" s="33"/>
    </row>
    <row r="47" spans="1:7" ht="18.75" hidden="1" thickBot="1" x14ac:dyDescent="0.45">
      <c r="A47" s="14" t="s">
        <v>2</v>
      </c>
      <c r="B47" s="99" t="s">
        <v>100</v>
      </c>
      <c r="C47" s="345" t="s">
        <v>65</v>
      </c>
      <c r="D47" s="346" t="s">
        <v>65</v>
      </c>
      <c r="E47" s="346" t="s">
        <v>65</v>
      </c>
      <c r="F47" s="347" t="s">
        <v>65</v>
      </c>
      <c r="G47" s="33"/>
    </row>
    <row r="48" spans="1:7" ht="18.75" hidden="1" thickBot="1" x14ac:dyDescent="0.45">
      <c r="A48" s="14" t="s">
        <v>3</v>
      </c>
      <c r="B48" s="99" t="s">
        <v>100</v>
      </c>
      <c r="C48" s="345">
        <v>0</v>
      </c>
      <c r="D48" s="346">
        <v>200</v>
      </c>
      <c r="E48" s="346">
        <v>243</v>
      </c>
      <c r="F48" s="347" t="s">
        <v>65</v>
      </c>
      <c r="G48" s="33"/>
    </row>
    <row r="49" spans="1:7" ht="18.75" hidden="1" thickBot="1" x14ac:dyDescent="0.45">
      <c r="A49" s="14" t="s">
        <v>4</v>
      </c>
      <c r="B49" s="99" t="s">
        <v>100</v>
      </c>
      <c r="C49" s="343">
        <v>33.299999999999997</v>
      </c>
      <c r="D49" s="346">
        <v>58</v>
      </c>
      <c r="E49" s="346">
        <v>3677.13</v>
      </c>
      <c r="F49" s="347" t="s">
        <v>65</v>
      </c>
      <c r="G49" s="36"/>
    </row>
    <row r="50" spans="1:7" ht="18.75" hidden="1" thickBot="1" x14ac:dyDescent="0.45">
      <c r="A50" s="14" t="s">
        <v>5</v>
      </c>
      <c r="B50" s="99" t="s">
        <v>100</v>
      </c>
      <c r="C50" s="345" t="s">
        <v>65</v>
      </c>
      <c r="D50" s="346" t="s">
        <v>65</v>
      </c>
      <c r="E50" s="346" t="s">
        <v>65</v>
      </c>
      <c r="F50" s="347" t="s">
        <v>65</v>
      </c>
      <c r="G50" s="36"/>
    </row>
    <row r="51" spans="1:7" ht="18.75" hidden="1" thickBot="1" x14ac:dyDescent="0.45">
      <c r="A51" s="14" t="s">
        <v>6</v>
      </c>
      <c r="B51" s="99" t="s">
        <v>100</v>
      </c>
      <c r="C51" s="348">
        <v>10</v>
      </c>
      <c r="D51" s="349" t="s">
        <v>65</v>
      </c>
      <c r="E51" s="349" t="s">
        <v>65</v>
      </c>
      <c r="F51" s="350">
        <v>80</v>
      </c>
      <c r="G51" s="36"/>
    </row>
    <row r="52" spans="1:7" ht="18.75" hidden="1" thickBot="1" x14ac:dyDescent="0.45">
      <c r="A52" s="14" t="s">
        <v>7</v>
      </c>
      <c r="B52" s="99" t="s">
        <v>100</v>
      </c>
      <c r="C52" s="345" t="s">
        <v>65</v>
      </c>
      <c r="D52" s="346" t="s">
        <v>65</v>
      </c>
      <c r="E52" s="346" t="s">
        <v>65</v>
      </c>
      <c r="F52" s="347" t="s">
        <v>65</v>
      </c>
      <c r="G52" s="36"/>
    </row>
    <row r="53" spans="1:7" ht="18.75" hidden="1" thickBot="1" x14ac:dyDescent="0.45">
      <c r="A53" s="14" t="s">
        <v>8</v>
      </c>
      <c r="B53" s="99" t="s">
        <v>100</v>
      </c>
      <c r="C53" s="345">
        <v>365</v>
      </c>
      <c r="D53" s="346" t="s">
        <v>65</v>
      </c>
      <c r="E53" s="346">
        <v>365</v>
      </c>
      <c r="F53" s="347">
        <v>400</v>
      </c>
      <c r="G53" s="36"/>
    </row>
    <row r="54" spans="1:7" ht="18.75" hidden="1" thickBot="1" x14ac:dyDescent="0.45">
      <c r="A54" s="14" t="s">
        <v>9</v>
      </c>
      <c r="B54" s="99" t="s">
        <v>100</v>
      </c>
      <c r="C54" s="345">
        <v>3</v>
      </c>
      <c r="D54" s="346">
        <v>3</v>
      </c>
      <c r="E54" s="346" t="s">
        <v>65</v>
      </c>
      <c r="F54" s="347" t="s">
        <v>65</v>
      </c>
      <c r="G54" s="36"/>
    </row>
    <row r="55" spans="1:7" ht="18.75" hidden="1" thickBot="1" x14ac:dyDescent="0.45">
      <c r="A55" s="14" t="s">
        <v>10</v>
      </c>
      <c r="B55" s="99" t="s">
        <v>100</v>
      </c>
      <c r="C55" s="345" t="s">
        <v>65</v>
      </c>
      <c r="D55" s="346" t="s">
        <v>65</v>
      </c>
      <c r="E55" s="346" t="s">
        <v>65</v>
      </c>
      <c r="F55" s="347" t="s">
        <v>65</v>
      </c>
      <c r="G55" s="36"/>
    </row>
    <row r="56" spans="1:7" ht="18.75" hidden="1" thickBot="1" x14ac:dyDescent="0.45">
      <c r="A56" s="14" t="s">
        <v>11</v>
      </c>
      <c r="B56" s="99" t="s">
        <v>100</v>
      </c>
      <c r="C56" s="345" t="s">
        <v>65</v>
      </c>
      <c r="D56" s="346" t="s">
        <v>65</v>
      </c>
      <c r="E56" s="346" t="s">
        <v>65</v>
      </c>
      <c r="F56" s="347" t="s">
        <v>65</v>
      </c>
      <c r="G56" s="36"/>
    </row>
    <row r="57" spans="1:7" ht="18.75" hidden="1" thickBot="1" x14ac:dyDescent="0.45">
      <c r="A57" s="14" t="s">
        <v>12</v>
      </c>
      <c r="B57" s="99" t="s">
        <v>100</v>
      </c>
      <c r="C57" s="345" t="s">
        <v>65</v>
      </c>
      <c r="D57" s="346" t="s">
        <v>65</v>
      </c>
      <c r="E57" s="346" t="s">
        <v>65</v>
      </c>
      <c r="F57" s="347" t="s">
        <v>65</v>
      </c>
      <c r="G57" s="36"/>
    </row>
    <row r="58" spans="1:7" ht="18.75" hidden="1" thickBot="1" x14ac:dyDescent="0.45">
      <c r="A58" s="14" t="s">
        <v>13</v>
      </c>
      <c r="B58" s="99" t="s">
        <v>100</v>
      </c>
      <c r="C58" s="343">
        <v>252.4</v>
      </c>
      <c r="D58" s="346">
        <v>512.66999999999996</v>
      </c>
      <c r="E58" s="346">
        <v>262.39999999999998</v>
      </c>
      <c r="F58" s="347" t="s">
        <v>65</v>
      </c>
      <c r="G58" s="36"/>
    </row>
    <row r="59" spans="1:7" ht="18.75" hidden="1" thickBot="1" x14ac:dyDescent="0.45">
      <c r="A59" s="14" t="s">
        <v>14</v>
      </c>
      <c r="B59" s="99" t="s">
        <v>100</v>
      </c>
      <c r="C59" s="345">
        <v>430</v>
      </c>
      <c r="D59" s="346" t="s">
        <v>65</v>
      </c>
      <c r="E59" s="346" t="s">
        <v>65</v>
      </c>
      <c r="F59" s="347" t="s">
        <v>65</v>
      </c>
      <c r="G59" s="36"/>
    </row>
    <row r="60" spans="1:7" ht="18.75" hidden="1" thickBot="1" x14ac:dyDescent="0.45">
      <c r="A60" s="14" t="s">
        <v>15</v>
      </c>
      <c r="B60" s="99" t="s">
        <v>100</v>
      </c>
      <c r="C60" s="345">
        <v>0</v>
      </c>
      <c r="D60" s="346">
        <v>0</v>
      </c>
      <c r="E60" s="346" t="s">
        <v>65</v>
      </c>
      <c r="F60" s="347" t="s">
        <v>65</v>
      </c>
      <c r="G60" s="36"/>
    </row>
    <row r="61" spans="1:7" ht="18.75" hidden="1" thickBot="1" x14ac:dyDescent="0.45">
      <c r="A61" s="14" t="s">
        <v>16</v>
      </c>
      <c r="B61" s="99" t="s">
        <v>100</v>
      </c>
      <c r="C61" s="345">
        <v>222</v>
      </c>
      <c r="D61" s="346" t="s">
        <v>65</v>
      </c>
      <c r="E61" s="346" t="s">
        <v>65</v>
      </c>
      <c r="F61" s="347" t="s">
        <v>65</v>
      </c>
      <c r="G61" s="36"/>
    </row>
    <row r="62" spans="1:7" ht="18.75" hidden="1" thickBot="1" x14ac:dyDescent="0.45">
      <c r="A62" s="14" t="s">
        <v>17</v>
      </c>
      <c r="B62" s="99" t="s">
        <v>100</v>
      </c>
      <c r="C62" s="345" t="s">
        <v>65</v>
      </c>
      <c r="D62" s="346">
        <v>0</v>
      </c>
      <c r="E62" s="346">
        <v>49</v>
      </c>
      <c r="F62" s="347">
        <v>161</v>
      </c>
      <c r="G62" s="36"/>
    </row>
    <row r="63" spans="1:7" ht="18.75" hidden="1" thickBot="1" x14ac:dyDescent="0.45">
      <c r="A63" s="14" t="s">
        <v>18</v>
      </c>
      <c r="B63" s="99" t="s">
        <v>100</v>
      </c>
      <c r="C63" s="345">
        <v>0</v>
      </c>
      <c r="D63" s="346" t="s">
        <v>65</v>
      </c>
      <c r="E63" s="346">
        <v>20</v>
      </c>
      <c r="F63" s="347">
        <v>20</v>
      </c>
      <c r="G63" s="36"/>
    </row>
    <row r="64" spans="1:7" ht="18.75" hidden="1" thickBot="1" x14ac:dyDescent="0.45">
      <c r="A64" s="14" t="s">
        <v>19</v>
      </c>
      <c r="B64" s="99" t="s">
        <v>100</v>
      </c>
      <c r="C64" s="345">
        <v>154</v>
      </c>
      <c r="D64" s="346" t="s">
        <v>65</v>
      </c>
      <c r="E64" s="346">
        <v>30</v>
      </c>
      <c r="F64" s="347">
        <v>205</v>
      </c>
      <c r="G64" s="36"/>
    </row>
    <row r="65" spans="1:7" ht="18.75" hidden="1" thickBot="1" x14ac:dyDescent="0.45">
      <c r="A65" s="27" t="s">
        <v>20</v>
      </c>
      <c r="B65" s="99" t="s">
        <v>100</v>
      </c>
      <c r="C65" s="351">
        <v>7.6</v>
      </c>
      <c r="D65" s="352" t="s">
        <v>65</v>
      </c>
      <c r="E65" s="352">
        <v>7.6</v>
      </c>
      <c r="F65" s="353" t="s">
        <v>65</v>
      </c>
      <c r="G65" s="36"/>
    </row>
    <row r="66" spans="1:7" ht="18.75" hidden="1" thickBot="1" x14ac:dyDescent="0.45">
      <c r="A66" s="34" t="s">
        <v>111</v>
      </c>
      <c r="B66" s="111" t="s">
        <v>100</v>
      </c>
      <c r="C66" s="322">
        <f>SUM(C46:C65)</f>
        <v>1497.3</v>
      </c>
      <c r="D66" s="323">
        <f t="shared" ref="D66" si="4">SUM(D46:D65)</f>
        <v>793.67</v>
      </c>
      <c r="E66" s="323">
        <f t="shared" ref="E66" si="5">SUM(E46:E65)</f>
        <v>4674.13</v>
      </c>
      <c r="F66" s="324">
        <f t="shared" ref="F66" si="6">SUM(F46:F65)</f>
        <v>886</v>
      </c>
      <c r="G66" s="33"/>
    </row>
    <row r="67" spans="1:7" ht="18.75" hidden="1" thickBot="1" x14ac:dyDescent="0.45">
      <c r="A67" s="34" t="s">
        <v>40</v>
      </c>
      <c r="B67" s="111" t="s">
        <v>100</v>
      </c>
      <c r="C67" s="325">
        <f>AVERAGE(C46:C65)</f>
        <v>115.17692307692307</v>
      </c>
      <c r="D67" s="326">
        <f>AVERAGE(D46:D65)</f>
        <v>113.38142857142857</v>
      </c>
      <c r="E67" s="326">
        <f>AVERAGE(E46:E65)</f>
        <v>519.34777777777776</v>
      </c>
      <c r="F67" s="327">
        <f t="shared" ref="F67" si="7">AVERAGE(F46:F65)</f>
        <v>147.66666666666666</v>
      </c>
      <c r="G67" s="33"/>
    </row>
    <row r="68" spans="1:7" ht="18.75" hidden="1" thickBot="1" x14ac:dyDescent="0.45">
      <c r="A68" s="35" t="s">
        <v>41</v>
      </c>
      <c r="B68" s="146" t="s">
        <v>100</v>
      </c>
      <c r="C68" s="331">
        <f>MEDIAN(C46:C65)</f>
        <v>20</v>
      </c>
      <c r="D68" s="332">
        <f t="shared" ref="D68" si="8">MEDIAN(D46:D65)</f>
        <v>20</v>
      </c>
      <c r="E68" s="332">
        <f>MEDIAN(E46:E65)</f>
        <v>49</v>
      </c>
      <c r="F68" s="327">
        <f t="shared" ref="F68" si="9">MEDIAN(F46:F65)</f>
        <v>120.5</v>
      </c>
      <c r="G68" s="33"/>
    </row>
    <row r="69" spans="1:7" ht="21" hidden="1" thickBot="1" x14ac:dyDescent="0.5">
      <c r="A69" s="25" t="s">
        <v>1</v>
      </c>
      <c r="B69" s="99" t="s">
        <v>101</v>
      </c>
      <c r="C69" s="374" t="s">
        <v>63</v>
      </c>
      <c r="D69" s="375" t="s">
        <v>63</v>
      </c>
      <c r="E69" s="375" t="s">
        <v>63</v>
      </c>
      <c r="F69" s="366" t="s">
        <v>65</v>
      </c>
      <c r="G69" s="136" t="s">
        <v>122</v>
      </c>
    </row>
    <row r="70" spans="1:7" ht="21" hidden="1" thickBot="1" x14ac:dyDescent="0.5">
      <c r="A70" s="14" t="s">
        <v>2</v>
      </c>
      <c r="B70" s="99" t="s">
        <v>101</v>
      </c>
      <c r="C70" s="345" t="s">
        <v>62</v>
      </c>
      <c r="D70" s="346" t="s">
        <v>62</v>
      </c>
      <c r="E70" s="346" t="s">
        <v>62</v>
      </c>
      <c r="F70" s="346" t="s">
        <v>65</v>
      </c>
      <c r="G70" s="137" t="s">
        <v>65</v>
      </c>
    </row>
    <row r="71" spans="1:7" ht="21" hidden="1" thickBot="1" x14ac:dyDescent="0.5">
      <c r="A71" s="14" t="s">
        <v>3</v>
      </c>
      <c r="B71" s="99" t="s">
        <v>101</v>
      </c>
      <c r="C71" s="345" t="s">
        <v>62</v>
      </c>
      <c r="D71" s="346" t="s">
        <v>62</v>
      </c>
      <c r="E71" s="346" t="s">
        <v>62</v>
      </c>
      <c r="F71" s="346" t="s">
        <v>65</v>
      </c>
      <c r="G71" s="137" t="s">
        <v>65</v>
      </c>
    </row>
    <row r="72" spans="1:7" ht="21" hidden="1" thickBot="1" x14ac:dyDescent="0.5">
      <c r="A72" s="14" t="s">
        <v>4</v>
      </c>
      <c r="B72" s="99" t="s">
        <v>101</v>
      </c>
      <c r="C72" s="343" t="s">
        <v>62</v>
      </c>
      <c r="D72" s="346" t="s">
        <v>62</v>
      </c>
      <c r="E72" s="346" t="s">
        <v>62</v>
      </c>
      <c r="F72" s="346" t="s">
        <v>65</v>
      </c>
      <c r="G72" s="137" t="s">
        <v>65</v>
      </c>
    </row>
    <row r="73" spans="1:7" ht="21" hidden="1" thickBot="1" x14ac:dyDescent="0.5">
      <c r="A73" s="14" t="s">
        <v>5</v>
      </c>
      <c r="B73" s="99" t="s">
        <v>101</v>
      </c>
      <c r="C73" s="345" t="s">
        <v>62</v>
      </c>
      <c r="D73" s="346" t="s">
        <v>62</v>
      </c>
      <c r="E73" s="346" t="s">
        <v>62</v>
      </c>
      <c r="F73" s="346" t="s">
        <v>65</v>
      </c>
      <c r="G73" s="137" t="s">
        <v>65</v>
      </c>
    </row>
    <row r="74" spans="1:7" ht="21" hidden="1" thickBot="1" x14ac:dyDescent="0.5">
      <c r="A74" s="14" t="s">
        <v>6</v>
      </c>
      <c r="B74" s="99" t="s">
        <v>101</v>
      </c>
      <c r="C74" s="348" t="s">
        <v>62</v>
      </c>
      <c r="D74" s="360" t="s">
        <v>63</v>
      </c>
      <c r="E74" s="360" t="s">
        <v>63</v>
      </c>
      <c r="F74" s="349" t="s">
        <v>65</v>
      </c>
      <c r="G74" s="137" t="s">
        <v>123</v>
      </c>
    </row>
    <row r="75" spans="1:7" ht="21" hidden="1" thickBot="1" x14ac:dyDescent="0.5">
      <c r="A75" s="14" t="s">
        <v>7</v>
      </c>
      <c r="B75" s="99" t="s">
        <v>101</v>
      </c>
      <c r="C75" s="345" t="s">
        <v>62</v>
      </c>
      <c r="D75" s="346" t="s">
        <v>62</v>
      </c>
      <c r="E75" s="346" t="s">
        <v>62</v>
      </c>
      <c r="F75" s="346" t="s">
        <v>65</v>
      </c>
      <c r="G75" s="137" t="s">
        <v>65</v>
      </c>
    </row>
    <row r="76" spans="1:7" ht="21" hidden="1" thickBot="1" x14ac:dyDescent="0.5">
      <c r="A76" s="14" t="s">
        <v>8</v>
      </c>
      <c r="B76" s="99" t="s">
        <v>101</v>
      </c>
      <c r="C76" s="361" t="s">
        <v>63</v>
      </c>
      <c r="D76" s="362" t="s">
        <v>63</v>
      </c>
      <c r="E76" s="362" t="s">
        <v>63</v>
      </c>
      <c r="F76" s="346" t="s">
        <v>65</v>
      </c>
      <c r="G76" s="137" t="s">
        <v>124</v>
      </c>
    </row>
    <row r="77" spans="1:7" ht="21" hidden="1" thickBot="1" x14ac:dyDescent="0.5">
      <c r="A77" s="14" t="s">
        <v>9</v>
      </c>
      <c r="B77" s="99" t="s">
        <v>101</v>
      </c>
      <c r="C77" s="345" t="s">
        <v>62</v>
      </c>
      <c r="D77" s="346" t="s">
        <v>62</v>
      </c>
      <c r="E77" s="346" t="s">
        <v>62</v>
      </c>
      <c r="F77" s="346" t="s">
        <v>65</v>
      </c>
      <c r="G77" s="137" t="s">
        <v>65</v>
      </c>
    </row>
    <row r="78" spans="1:7" ht="21" hidden="1" thickBot="1" x14ac:dyDescent="0.5">
      <c r="A78" s="14" t="s">
        <v>10</v>
      </c>
      <c r="B78" s="99" t="s">
        <v>101</v>
      </c>
      <c r="C78" s="345" t="s">
        <v>62</v>
      </c>
      <c r="D78" s="362" t="s">
        <v>63</v>
      </c>
      <c r="E78" s="362" t="s">
        <v>63</v>
      </c>
      <c r="F78" s="346" t="s">
        <v>65</v>
      </c>
      <c r="G78" s="137" t="s">
        <v>125</v>
      </c>
    </row>
    <row r="79" spans="1:7" ht="21" hidden="1" thickBot="1" x14ac:dyDescent="0.5">
      <c r="A79" s="14" t="s">
        <v>11</v>
      </c>
      <c r="B79" s="99" t="s">
        <v>101</v>
      </c>
      <c r="C79" s="345" t="s">
        <v>62</v>
      </c>
      <c r="D79" s="362" t="s">
        <v>63</v>
      </c>
      <c r="E79" s="362" t="s">
        <v>63</v>
      </c>
      <c r="F79" s="346" t="s">
        <v>65</v>
      </c>
      <c r="G79" s="137" t="s">
        <v>124</v>
      </c>
    </row>
    <row r="80" spans="1:7" ht="21" hidden="1" thickBot="1" x14ac:dyDescent="0.5">
      <c r="A80" s="14" t="s">
        <v>12</v>
      </c>
      <c r="B80" s="99" t="s">
        <v>101</v>
      </c>
      <c r="C80" s="345" t="s">
        <v>62</v>
      </c>
      <c r="D80" s="346" t="s">
        <v>62</v>
      </c>
      <c r="E80" s="346" t="s">
        <v>62</v>
      </c>
      <c r="F80" s="346" t="s">
        <v>65</v>
      </c>
      <c r="G80" s="137" t="s">
        <v>65</v>
      </c>
    </row>
    <row r="81" spans="1:7" ht="21" hidden="1" thickBot="1" x14ac:dyDescent="0.5">
      <c r="A81" s="14" t="s">
        <v>13</v>
      </c>
      <c r="B81" s="99" t="s">
        <v>101</v>
      </c>
      <c r="C81" s="363" t="s">
        <v>63</v>
      </c>
      <c r="D81" s="362" t="s">
        <v>63</v>
      </c>
      <c r="E81" s="362" t="s">
        <v>63</v>
      </c>
      <c r="F81" s="346" t="s">
        <v>65</v>
      </c>
      <c r="G81" s="137" t="s">
        <v>126</v>
      </c>
    </row>
    <row r="82" spans="1:7" ht="21" hidden="1" thickBot="1" x14ac:dyDescent="0.5">
      <c r="A82" s="14" t="s">
        <v>14</v>
      </c>
      <c r="B82" s="99" t="s">
        <v>101</v>
      </c>
      <c r="C82" s="345" t="s">
        <v>62</v>
      </c>
      <c r="D82" s="362" t="s">
        <v>63</v>
      </c>
      <c r="E82" s="362" t="s">
        <v>63</v>
      </c>
      <c r="F82" s="346" t="s">
        <v>65</v>
      </c>
      <c r="G82" s="137" t="s">
        <v>127</v>
      </c>
    </row>
    <row r="83" spans="1:7" ht="21" hidden="1" thickBot="1" x14ac:dyDescent="0.5">
      <c r="A83" s="14" t="s">
        <v>15</v>
      </c>
      <c r="B83" s="99" t="s">
        <v>101</v>
      </c>
      <c r="C83" s="345" t="s">
        <v>62</v>
      </c>
      <c r="D83" s="362" t="s">
        <v>63</v>
      </c>
      <c r="E83" s="362" t="s">
        <v>63</v>
      </c>
      <c r="F83" s="346" t="s">
        <v>65</v>
      </c>
      <c r="G83" s="137" t="s">
        <v>128</v>
      </c>
    </row>
    <row r="84" spans="1:7" ht="21" hidden="1" thickBot="1" x14ac:dyDescent="0.5">
      <c r="A84" s="14" t="s">
        <v>16</v>
      </c>
      <c r="B84" s="99" t="s">
        <v>101</v>
      </c>
      <c r="C84" s="361" t="s">
        <v>63</v>
      </c>
      <c r="D84" s="362" t="s">
        <v>63</v>
      </c>
      <c r="E84" s="362" t="s">
        <v>63</v>
      </c>
      <c r="F84" s="346" t="s">
        <v>65</v>
      </c>
      <c r="G84" s="137" t="s">
        <v>129</v>
      </c>
    </row>
    <row r="85" spans="1:7" ht="21" hidden="1" thickBot="1" x14ac:dyDescent="0.5">
      <c r="A85" s="14" t="s">
        <v>17</v>
      </c>
      <c r="B85" s="99" t="s">
        <v>101</v>
      </c>
      <c r="C85" s="361" t="s">
        <v>63</v>
      </c>
      <c r="D85" s="362" t="s">
        <v>63</v>
      </c>
      <c r="E85" s="362" t="s">
        <v>63</v>
      </c>
      <c r="F85" s="346" t="s">
        <v>65</v>
      </c>
      <c r="G85" s="137" t="s">
        <v>130</v>
      </c>
    </row>
    <row r="86" spans="1:7" ht="21" hidden="1" thickBot="1" x14ac:dyDescent="0.5">
      <c r="A86" s="14" t="s">
        <v>18</v>
      </c>
      <c r="B86" s="99" t="s">
        <v>101</v>
      </c>
      <c r="C86" s="345" t="s">
        <v>62</v>
      </c>
      <c r="D86" s="362" t="s">
        <v>63</v>
      </c>
      <c r="E86" s="362" t="s">
        <v>63</v>
      </c>
      <c r="F86" s="346" t="s">
        <v>65</v>
      </c>
      <c r="G86" s="137" t="s">
        <v>124</v>
      </c>
    </row>
    <row r="87" spans="1:7" ht="21" hidden="1" thickBot="1" x14ac:dyDescent="0.5">
      <c r="A87" s="14" t="s">
        <v>19</v>
      </c>
      <c r="B87" s="99" t="s">
        <v>101</v>
      </c>
      <c r="C87" s="361" t="s">
        <v>63</v>
      </c>
      <c r="D87" s="346" t="s">
        <v>62</v>
      </c>
      <c r="E87" s="346" t="s">
        <v>62</v>
      </c>
      <c r="F87" s="346" t="s">
        <v>65</v>
      </c>
      <c r="G87" s="137" t="s">
        <v>127</v>
      </c>
    </row>
    <row r="88" spans="1:7" ht="21" hidden="1" thickBot="1" x14ac:dyDescent="0.5">
      <c r="A88" s="27" t="s">
        <v>20</v>
      </c>
      <c r="B88" s="99" t="s">
        <v>101</v>
      </c>
      <c r="C88" s="376" t="s">
        <v>63</v>
      </c>
      <c r="D88" s="377" t="s">
        <v>63</v>
      </c>
      <c r="E88" s="377" t="s">
        <v>63</v>
      </c>
      <c r="F88" s="352" t="s">
        <v>65</v>
      </c>
      <c r="G88" s="138" t="s">
        <v>131</v>
      </c>
    </row>
    <row r="89" spans="1:7" ht="18.75" hidden="1" thickBot="1" x14ac:dyDescent="0.45">
      <c r="A89" s="34" t="s">
        <v>112</v>
      </c>
      <c r="B89" s="100" t="s">
        <v>101</v>
      </c>
      <c r="C89" s="355">
        <f>COUNTIF(C69:C88,"Sí")</f>
        <v>7</v>
      </c>
      <c r="D89" s="356">
        <f t="shared" ref="D89:E89" si="10">COUNTIF(D69:D88,"Sí")</f>
        <v>12</v>
      </c>
      <c r="E89" s="356">
        <f t="shared" si="10"/>
        <v>12</v>
      </c>
      <c r="F89" s="356">
        <f t="shared" ref="F89" si="11">SUM(F69:F88)</f>
        <v>0</v>
      </c>
      <c r="G89" s="378"/>
    </row>
    <row r="90" spans="1:7" ht="18.75" hidden="1" thickBot="1" x14ac:dyDescent="0.45">
      <c r="A90" s="25" t="s">
        <v>1</v>
      </c>
      <c r="B90" s="99" t="s">
        <v>102</v>
      </c>
      <c r="C90" s="365">
        <v>80</v>
      </c>
      <c r="D90" s="366" t="s">
        <v>65</v>
      </c>
      <c r="E90" s="366">
        <v>80</v>
      </c>
      <c r="F90" s="367">
        <v>90</v>
      </c>
      <c r="G90" s="33"/>
    </row>
    <row r="91" spans="1:7" ht="18.75" hidden="1" thickBot="1" x14ac:dyDescent="0.45">
      <c r="A91" s="14" t="s">
        <v>2</v>
      </c>
      <c r="B91" s="99" t="s">
        <v>102</v>
      </c>
      <c r="C91" s="345">
        <v>10</v>
      </c>
      <c r="D91" s="346" t="s">
        <v>65</v>
      </c>
      <c r="E91" s="346">
        <v>75</v>
      </c>
      <c r="F91" s="347">
        <v>75</v>
      </c>
      <c r="G91" s="33"/>
    </row>
    <row r="92" spans="1:7" ht="18.75" hidden="1" thickBot="1" x14ac:dyDescent="0.45">
      <c r="A92" s="14" t="s">
        <v>3</v>
      </c>
      <c r="B92" s="99" t="s">
        <v>102</v>
      </c>
      <c r="C92" s="345">
        <v>95</v>
      </c>
      <c r="D92" s="346" t="s">
        <v>65</v>
      </c>
      <c r="E92" s="346">
        <v>95</v>
      </c>
      <c r="F92" s="347">
        <v>95</v>
      </c>
      <c r="G92" s="33"/>
    </row>
    <row r="93" spans="1:7" ht="18.75" hidden="1" thickBot="1" x14ac:dyDescent="0.45">
      <c r="A93" s="14" t="s">
        <v>4</v>
      </c>
      <c r="B93" s="99" t="s">
        <v>102</v>
      </c>
      <c r="C93" s="345">
        <v>95</v>
      </c>
      <c r="D93" s="346" t="s">
        <v>65</v>
      </c>
      <c r="E93" s="346">
        <v>95</v>
      </c>
      <c r="F93" s="347">
        <v>95</v>
      </c>
      <c r="G93" s="36"/>
    </row>
    <row r="94" spans="1:7" ht="18.75" hidden="1" thickBot="1" x14ac:dyDescent="0.45">
      <c r="A94" s="14" t="s">
        <v>5</v>
      </c>
      <c r="B94" s="99" t="s">
        <v>102</v>
      </c>
      <c r="C94" s="345" t="s">
        <v>65</v>
      </c>
      <c r="D94" s="346" t="s">
        <v>65</v>
      </c>
      <c r="E94" s="346">
        <v>95</v>
      </c>
      <c r="F94" s="347">
        <v>95</v>
      </c>
      <c r="G94" s="36"/>
    </row>
    <row r="95" spans="1:7" ht="18.75" hidden="1" thickBot="1" x14ac:dyDescent="0.45">
      <c r="A95" s="14" t="s">
        <v>6</v>
      </c>
      <c r="B95" s="99" t="s">
        <v>102</v>
      </c>
      <c r="C95" s="348">
        <v>95</v>
      </c>
      <c r="D95" s="349" t="s">
        <v>65</v>
      </c>
      <c r="E95" s="349">
        <v>95</v>
      </c>
      <c r="F95" s="350">
        <v>95</v>
      </c>
      <c r="G95" s="36"/>
    </row>
    <row r="96" spans="1:7" ht="18.75" hidden="1" thickBot="1" x14ac:dyDescent="0.45">
      <c r="A96" s="14" t="s">
        <v>7</v>
      </c>
      <c r="B96" s="99" t="s">
        <v>102</v>
      </c>
      <c r="C96" s="345" t="s">
        <v>65</v>
      </c>
      <c r="D96" s="346" t="s">
        <v>65</v>
      </c>
      <c r="E96" s="346" t="s">
        <v>65</v>
      </c>
      <c r="F96" s="347" t="s">
        <v>65</v>
      </c>
      <c r="G96" s="36"/>
    </row>
    <row r="97" spans="1:7" ht="18.75" hidden="1" thickBot="1" x14ac:dyDescent="0.45">
      <c r="A97" s="14" t="s">
        <v>8</v>
      </c>
      <c r="B97" s="99" t="s">
        <v>102</v>
      </c>
      <c r="C97" s="345">
        <v>95</v>
      </c>
      <c r="D97" s="346" t="s">
        <v>65</v>
      </c>
      <c r="E97" s="346">
        <v>95</v>
      </c>
      <c r="F97" s="347">
        <v>95</v>
      </c>
      <c r="G97" s="36"/>
    </row>
    <row r="98" spans="1:7" ht="18.75" hidden="1" thickBot="1" x14ac:dyDescent="0.45">
      <c r="A98" s="14" t="s">
        <v>9</v>
      </c>
      <c r="B98" s="99" t="s">
        <v>102</v>
      </c>
      <c r="C98" s="345" t="s">
        <v>65</v>
      </c>
      <c r="D98" s="346" t="s">
        <v>65</v>
      </c>
      <c r="E98" s="346" t="s">
        <v>65</v>
      </c>
      <c r="F98" s="347" t="s">
        <v>65</v>
      </c>
      <c r="G98" s="36"/>
    </row>
    <row r="99" spans="1:7" ht="18.75" hidden="1" thickBot="1" x14ac:dyDescent="0.45">
      <c r="A99" s="14" t="s">
        <v>10</v>
      </c>
      <c r="B99" s="99" t="s">
        <v>102</v>
      </c>
      <c r="C99" s="345" t="s">
        <v>65</v>
      </c>
      <c r="D99" s="346" t="s">
        <v>65</v>
      </c>
      <c r="E99" s="346">
        <v>50</v>
      </c>
      <c r="F99" s="347">
        <v>50</v>
      </c>
      <c r="G99" s="36"/>
    </row>
    <row r="100" spans="1:7" ht="18.75" hidden="1" thickBot="1" x14ac:dyDescent="0.45">
      <c r="A100" s="14" t="s">
        <v>11</v>
      </c>
      <c r="B100" s="99" t="s">
        <v>102</v>
      </c>
      <c r="C100" s="345" t="s">
        <v>65</v>
      </c>
      <c r="D100" s="346" t="s">
        <v>65</v>
      </c>
      <c r="E100" s="346" t="s">
        <v>65</v>
      </c>
      <c r="F100" s="347" t="s">
        <v>65</v>
      </c>
      <c r="G100" s="36"/>
    </row>
    <row r="101" spans="1:7" ht="18.75" hidden="1" thickBot="1" x14ac:dyDescent="0.45">
      <c r="A101" s="14" t="s">
        <v>12</v>
      </c>
      <c r="B101" s="99" t="s">
        <v>102</v>
      </c>
      <c r="C101" s="345" t="s">
        <v>65</v>
      </c>
      <c r="D101" s="346" t="s">
        <v>65</v>
      </c>
      <c r="E101" s="346" t="s">
        <v>65</v>
      </c>
      <c r="F101" s="347" t="s">
        <v>65</v>
      </c>
      <c r="G101" s="36"/>
    </row>
    <row r="102" spans="1:7" ht="18.75" hidden="1" thickBot="1" x14ac:dyDescent="0.45">
      <c r="A102" s="14" t="s">
        <v>13</v>
      </c>
      <c r="B102" s="99" t="s">
        <v>102</v>
      </c>
      <c r="C102" s="345">
        <v>95</v>
      </c>
      <c r="D102" s="346" t="s">
        <v>65</v>
      </c>
      <c r="E102" s="346">
        <v>95</v>
      </c>
      <c r="F102" s="347">
        <v>95</v>
      </c>
      <c r="G102" s="36"/>
    </row>
    <row r="103" spans="1:7" ht="18.75" hidden="1" thickBot="1" x14ac:dyDescent="0.45">
      <c r="A103" s="14" t="s">
        <v>14</v>
      </c>
      <c r="B103" s="99" t="s">
        <v>102</v>
      </c>
      <c r="C103" s="345" t="s">
        <v>65</v>
      </c>
      <c r="D103" s="346" t="s">
        <v>65</v>
      </c>
      <c r="E103" s="346">
        <v>95</v>
      </c>
      <c r="F103" s="347">
        <v>95</v>
      </c>
      <c r="G103" s="36"/>
    </row>
    <row r="104" spans="1:7" ht="18.75" hidden="1" thickBot="1" x14ac:dyDescent="0.45">
      <c r="A104" s="14" t="s">
        <v>15</v>
      </c>
      <c r="B104" s="99" t="s">
        <v>102</v>
      </c>
      <c r="C104" s="345">
        <v>95</v>
      </c>
      <c r="D104" s="346" t="s">
        <v>65</v>
      </c>
      <c r="E104" s="346">
        <v>95</v>
      </c>
      <c r="F104" s="347">
        <v>95</v>
      </c>
      <c r="G104" s="36"/>
    </row>
    <row r="105" spans="1:7" ht="18.75" hidden="1" thickBot="1" x14ac:dyDescent="0.45">
      <c r="A105" s="14" t="s">
        <v>16</v>
      </c>
      <c r="B105" s="99" t="s">
        <v>102</v>
      </c>
      <c r="C105" s="345">
        <v>50</v>
      </c>
      <c r="D105" s="346" t="s">
        <v>65</v>
      </c>
      <c r="E105" s="346">
        <v>50</v>
      </c>
      <c r="F105" s="347">
        <v>50</v>
      </c>
      <c r="G105" s="36"/>
    </row>
    <row r="106" spans="1:7" ht="18.75" hidden="1" thickBot="1" x14ac:dyDescent="0.45">
      <c r="A106" s="14" t="s">
        <v>17</v>
      </c>
      <c r="B106" s="99" t="s">
        <v>102</v>
      </c>
      <c r="C106" s="345">
        <v>80</v>
      </c>
      <c r="D106" s="346" t="s">
        <v>65</v>
      </c>
      <c r="E106" s="346">
        <v>80</v>
      </c>
      <c r="F106" s="347">
        <v>80</v>
      </c>
      <c r="G106" s="36"/>
    </row>
    <row r="107" spans="1:7" ht="18.75" hidden="1" thickBot="1" x14ac:dyDescent="0.45">
      <c r="A107" s="14" t="s">
        <v>18</v>
      </c>
      <c r="B107" s="99" t="s">
        <v>102</v>
      </c>
      <c r="C107" s="345">
        <v>95</v>
      </c>
      <c r="D107" s="346" t="s">
        <v>65</v>
      </c>
      <c r="E107" s="346">
        <v>95</v>
      </c>
      <c r="F107" s="347">
        <v>95</v>
      </c>
      <c r="G107" s="36"/>
    </row>
    <row r="108" spans="1:7" ht="18.75" hidden="1" thickBot="1" x14ac:dyDescent="0.45">
      <c r="A108" s="14" t="s">
        <v>19</v>
      </c>
      <c r="B108" s="99" t="s">
        <v>102</v>
      </c>
      <c r="C108" s="345" t="s">
        <v>65</v>
      </c>
      <c r="D108" s="346" t="s">
        <v>65</v>
      </c>
      <c r="E108" s="346">
        <v>95</v>
      </c>
      <c r="F108" s="347">
        <v>95</v>
      </c>
      <c r="G108" s="36"/>
    </row>
    <row r="109" spans="1:7" ht="18.75" hidden="1" thickBot="1" x14ac:dyDescent="0.45">
      <c r="A109" s="27" t="s">
        <v>20</v>
      </c>
      <c r="B109" s="99" t="s">
        <v>102</v>
      </c>
      <c r="C109" s="351" t="s">
        <v>65</v>
      </c>
      <c r="D109" s="352" t="s">
        <v>65</v>
      </c>
      <c r="E109" s="352">
        <v>95</v>
      </c>
      <c r="F109" s="353">
        <v>95</v>
      </c>
      <c r="G109" s="36"/>
    </row>
    <row r="110" spans="1:7" ht="18.75" hidden="1" thickBot="1" x14ac:dyDescent="0.45">
      <c r="A110" s="34" t="s">
        <v>113</v>
      </c>
      <c r="B110" s="100" t="s">
        <v>102</v>
      </c>
      <c r="C110" s="357">
        <f>COUNT(C90:C109)</f>
        <v>11</v>
      </c>
      <c r="D110" s="358">
        <f t="shared" ref="D110:F110" si="12">COUNT(D90:D109)</f>
        <v>0</v>
      </c>
      <c r="E110" s="358">
        <f t="shared" si="12"/>
        <v>16</v>
      </c>
      <c r="F110" s="359">
        <f t="shared" si="12"/>
        <v>16</v>
      </c>
      <c r="G110" s="33"/>
    </row>
    <row r="111" spans="1:7" ht="18.75" hidden="1" thickBot="1" x14ac:dyDescent="0.45">
      <c r="A111" s="68" t="s">
        <v>1</v>
      </c>
      <c r="B111" s="73" t="s">
        <v>103</v>
      </c>
      <c r="C111" s="365" t="s">
        <v>65</v>
      </c>
      <c r="D111" s="366" t="s">
        <v>65</v>
      </c>
      <c r="E111" s="366" t="s">
        <v>65</v>
      </c>
      <c r="F111" s="369" t="s">
        <v>63</v>
      </c>
      <c r="G111" s="33"/>
    </row>
    <row r="112" spans="1:7" ht="18.75" hidden="1" thickBot="1" x14ac:dyDescent="0.45">
      <c r="A112" s="69" t="s">
        <v>2</v>
      </c>
      <c r="B112" s="186" t="s">
        <v>103</v>
      </c>
      <c r="C112" s="345" t="s">
        <v>65</v>
      </c>
      <c r="D112" s="344" t="s">
        <v>65</v>
      </c>
      <c r="E112" s="344" t="s">
        <v>65</v>
      </c>
      <c r="F112" s="347" t="s">
        <v>62</v>
      </c>
      <c r="G112" s="33"/>
    </row>
    <row r="113" spans="1:7" ht="18.75" hidden="1" thickBot="1" x14ac:dyDescent="0.45">
      <c r="A113" s="69" t="s">
        <v>3</v>
      </c>
      <c r="B113" s="186" t="s">
        <v>103</v>
      </c>
      <c r="C113" s="345" t="s">
        <v>65</v>
      </c>
      <c r="D113" s="344" t="s">
        <v>65</v>
      </c>
      <c r="E113" s="344" t="s">
        <v>65</v>
      </c>
      <c r="F113" s="347" t="s">
        <v>62</v>
      </c>
      <c r="G113" s="33"/>
    </row>
    <row r="114" spans="1:7" ht="18.75" hidden="1" thickBot="1" x14ac:dyDescent="0.45">
      <c r="A114" s="69" t="s">
        <v>4</v>
      </c>
      <c r="B114" s="186" t="s">
        <v>103</v>
      </c>
      <c r="C114" s="345" t="s">
        <v>65</v>
      </c>
      <c r="D114" s="344" t="s">
        <v>65</v>
      </c>
      <c r="E114" s="344" t="s">
        <v>65</v>
      </c>
      <c r="F114" s="347" t="s">
        <v>62</v>
      </c>
      <c r="G114" s="36"/>
    </row>
    <row r="115" spans="1:7" ht="18.75" hidden="1" thickBot="1" x14ac:dyDescent="0.45">
      <c r="A115" s="69" t="s">
        <v>5</v>
      </c>
      <c r="B115" s="186" t="s">
        <v>103</v>
      </c>
      <c r="C115" s="345" t="s">
        <v>65</v>
      </c>
      <c r="D115" s="344" t="s">
        <v>65</v>
      </c>
      <c r="E115" s="344" t="s">
        <v>65</v>
      </c>
      <c r="F115" s="347" t="s">
        <v>65</v>
      </c>
      <c r="G115" s="36"/>
    </row>
    <row r="116" spans="1:7" ht="18.75" hidden="1" thickBot="1" x14ac:dyDescent="0.45">
      <c r="A116" s="69" t="s">
        <v>6</v>
      </c>
      <c r="B116" s="186" t="s">
        <v>103</v>
      </c>
      <c r="C116" s="348" t="s">
        <v>65</v>
      </c>
      <c r="D116" s="344" t="s">
        <v>65</v>
      </c>
      <c r="E116" s="344" t="s">
        <v>65</v>
      </c>
      <c r="F116" s="370" t="s">
        <v>63</v>
      </c>
      <c r="G116" s="36"/>
    </row>
    <row r="117" spans="1:7" ht="18.75" hidden="1" thickBot="1" x14ac:dyDescent="0.45">
      <c r="A117" s="69" t="s">
        <v>7</v>
      </c>
      <c r="B117" s="186" t="s">
        <v>103</v>
      </c>
      <c r="C117" s="345" t="s">
        <v>65</v>
      </c>
      <c r="D117" s="344" t="s">
        <v>65</v>
      </c>
      <c r="E117" s="344" t="s">
        <v>65</v>
      </c>
      <c r="F117" s="347" t="s">
        <v>65</v>
      </c>
      <c r="G117" s="36"/>
    </row>
    <row r="118" spans="1:7" ht="18.75" hidden="1" thickBot="1" x14ac:dyDescent="0.45">
      <c r="A118" s="69" t="s">
        <v>8</v>
      </c>
      <c r="B118" s="186" t="s">
        <v>103</v>
      </c>
      <c r="C118" s="345" t="s">
        <v>65</v>
      </c>
      <c r="D118" s="344" t="s">
        <v>65</v>
      </c>
      <c r="E118" s="344" t="s">
        <v>65</v>
      </c>
      <c r="F118" s="371" t="s">
        <v>63</v>
      </c>
      <c r="G118" s="36"/>
    </row>
    <row r="119" spans="1:7" ht="18.75" hidden="1" thickBot="1" x14ac:dyDescent="0.45">
      <c r="A119" s="69" t="s">
        <v>9</v>
      </c>
      <c r="B119" s="186" t="s">
        <v>103</v>
      </c>
      <c r="C119" s="345" t="s">
        <v>65</v>
      </c>
      <c r="D119" s="344" t="s">
        <v>65</v>
      </c>
      <c r="E119" s="344" t="s">
        <v>65</v>
      </c>
      <c r="F119" s="347" t="s">
        <v>62</v>
      </c>
      <c r="G119" s="36"/>
    </row>
    <row r="120" spans="1:7" ht="18.75" hidden="1" thickBot="1" x14ac:dyDescent="0.45">
      <c r="A120" s="69" t="s">
        <v>10</v>
      </c>
      <c r="B120" s="186" t="s">
        <v>103</v>
      </c>
      <c r="C120" s="345" t="s">
        <v>65</v>
      </c>
      <c r="D120" s="344" t="s">
        <v>65</v>
      </c>
      <c r="E120" s="344" t="s">
        <v>65</v>
      </c>
      <c r="F120" s="347" t="s">
        <v>65</v>
      </c>
      <c r="G120" s="36"/>
    </row>
    <row r="121" spans="1:7" ht="18.75" hidden="1" thickBot="1" x14ac:dyDescent="0.45">
      <c r="A121" s="69" t="s">
        <v>11</v>
      </c>
      <c r="B121" s="186" t="s">
        <v>103</v>
      </c>
      <c r="C121" s="345" t="s">
        <v>65</v>
      </c>
      <c r="D121" s="344" t="s">
        <v>65</v>
      </c>
      <c r="E121" s="344" t="s">
        <v>65</v>
      </c>
      <c r="F121" s="347" t="s">
        <v>65</v>
      </c>
      <c r="G121" s="36"/>
    </row>
    <row r="122" spans="1:7" ht="18.75" hidden="1" thickBot="1" x14ac:dyDescent="0.45">
      <c r="A122" s="69" t="s">
        <v>12</v>
      </c>
      <c r="B122" s="186" t="s">
        <v>103</v>
      </c>
      <c r="C122" s="345" t="s">
        <v>65</v>
      </c>
      <c r="D122" s="344" t="s">
        <v>65</v>
      </c>
      <c r="E122" s="344" t="s">
        <v>65</v>
      </c>
      <c r="F122" s="347" t="s">
        <v>65</v>
      </c>
      <c r="G122" s="36"/>
    </row>
    <row r="123" spans="1:7" ht="18.75" hidden="1" thickBot="1" x14ac:dyDescent="0.45">
      <c r="A123" s="69" t="s">
        <v>13</v>
      </c>
      <c r="B123" s="186" t="s">
        <v>103</v>
      </c>
      <c r="C123" s="345" t="s">
        <v>65</v>
      </c>
      <c r="D123" s="344" t="s">
        <v>65</v>
      </c>
      <c r="E123" s="344" t="s">
        <v>65</v>
      </c>
      <c r="F123" s="347" t="s">
        <v>65</v>
      </c>
      <c r="G123" s="36"/>
    </row>
    <row r="124" spans="1:7" ht="18.75" hidden="1" thickBot="1" x14ac:dyDescent="0.45">
      <c r="A124" s="69" t="s">
        <v>14</v>
      </c>
      <c r="B124" s="186" t="s">
        <v>103</v>
      </c>
      <c r="C124" s="345" t="s">
        <v>65</v>
      </c>
      <c r="D124" s="344" t="s">
        <v>65</v>
      </c>
      <c r="E124" s="344" t="s">
        <v>65</v>
      </c>
      <c r="F124" s="347" t="s">
        <v>65</v>
      </c>
      <c r="G124" s="36"/>
    </row>
    <row r="125" spans="1:7" ht="18.75" hidden="1" thickBot="1" x14ac:dyDescent="0.45">
      <c r="A125" s="69" t="s">
        <v>15</v>
      </c>
      <c r="B125" s="186" t="s">
        <v>103</v>
      </c>
      <c r="C125" s="345" t="s">
        <v>65</v>
      </c>
      <c r="D125" s="344" t="s">
        <v>65</v>
      </c>
      <c r="E125" s="344" t="s">
        <v>65</v>
      </c>
      <c r="F125" s="347" t="s">
        <v>65</v>
      </c>
      <c r="G125" s="36"/>
    </row>
    <row r="126" spans="1:7" ht="18.75" hidden="1" thickBot="1" x14ac:dyDescent="0.45">
      <c r="A126" s="69" t="s">
        <v>16</v>
      </c>
      <c r="B126" s="186" t="s">
        <v>103</v>
      </c>
      <c r="C126" s="345" t="s">
        <v>65</v>
      </c>
      <c r="D126" s="344" t="s">
        <v>65</v>
      </c>
      <c r="E126" s="344" t="s">
        <v>65</v>
      </c>
      <c r="F126" s="347" t="s">
        <v>65</v>
      </c>
      <c r="G126" s="36"/>
    </row>
    <row r="127" spans="1:7" ht="18.75" hidden="1" thickBot="1" x14ac:dyDescent="0.45">
      <c r="A127" s="69" t="s">
        <v>17</v>
      </c>
      <c r="B127" s="186" t="s">
        <v>103</v>
      </c>
      <c r="C127" s="345" t="s">
        <v>65</v>
      </c>
      <c r="D127" s="344" t="s">
        <v>65</v>
      </c>
      <c r="E127" s="344" t="s">
        <v>65</v>
      </c>
      <c r="F127" s="347" t="s">
        <v>62</v>
      </c>
      <c r="G127" s="36"/>
    </row>
    <row r="128" spans="1:7" ht="18.75" hidden="1" thickBot="1" x14ac:dyDescent="0.45">
      <c r="A128" s="69" t="s">
        <v>18</v>
      </c>
      <c r="B128" s="186" t="s">
        <v>103</v>
      </c>
      <c r="C128" s="345" t="s">
        <v>65</v>
      </c>
      <c r="D128" s="344" t="s">
        <v>65</v>
      </c>
      <c r="E128" s="344" t="s">
        <v>65</v>
      </c>
      <c r="F128" s="347" t="s">
        <v>62</v>
      </c>
      <c r="G128" s="36"/>
    </row>
    <row r="129" spans="1:7" ht="18.75" hidden="1" thickBot="1" x14ac:dyDescent="0.45">
      <c r="A129" s="69" t="s">
        <v>19</v>
      </c>
      <c r="B129" s="186" t="s">
        <v>103</v>
      </c>
      <c r="C129" s="345" t="s">
        <v>65</v>
      </c>
      <c r="D129" s="344" t="s">
        <v>65</v>
      </c>
      <c r="E129" s="344" t="s">
        <v>65</v>
      </c>
      <c r="F129" s="347" t="s">
        <v>62</v>
      </c>
      <c r="G129" s="36"/>
    </row>
    <row r="130" spans="1:7" ht="18.75" hidden="1" thickBot="1" x14ac:dyDescent="0.45">
      <c r="A130" s="70" t="s">
        <v>20</v>
      </c>
      <c r="B130" s="187" t="s">
        <v>103</v>
      </c>
      <c r="C130" s="351" t="s">
        <v>65</v>
      </c>
      <c r="D130" s="368" t="s">
        <v>65</v>
      </c>
      <c r="E130" s="368" t="s">
        <v>65</v>
      </c>
      <c r="F130" s="353" t="s">
        <v>65</v>
      </c>
      <c r="G130" s="36"/>
    </row>
    <row r="131" spans="1:7" ht="18" x14ac:dyDescent="0.4">
      <c r="A131" s="68" t="s">
        <v>1</v>
      </c>
      <c r="B131" s="73" t="s">
        <v>104</v>
      </c>
      <c r="C131" s="365" t="s">
        <v>65</v>
      </c>
      <c r="D131" s="366" t="s">
        <v>65</v>
      </c>
      <c r="E131" s="366" t="s">
        <v>65</v>
      </c>
      <c r="F131" s="367" t="s">
        <v>132</v>
      </c>
      <c r="G131" s="33"/>
    </row>
    <row r="132" spans="1:7" ht="18" x14ac:dyDescent="0.4">
      <c r="A132" s="69" t="s">
        <v>2</v>
      </c>
      <c r="B132" s="186" t="s">
        <v>104</v>
      </c>
      <c r="C132" s="345" t="s">
        <v>65</v>
      </c>
      <c r="D132" s="344" t="s">
        <v>65</v>
      </c>
      <c r="E132" s="344" t="s">
        <v>65</v>
      </c>
      <c r="F132" s="372" t="s">
        <v>65</v>
      </c>
      <c r="G132" s="33"/>
    </row>
    <row r="133" spans="1:7" ht="18" x14ac:dyDescent="0.4">
      <c r="A133" s="69" t="s">
        <v>3</v>
      </c>
      <c r="B133" s="186" t="s">
        <v>104</v>
      </c>
      <c r="C133" s="345" t="s">
        <v>65</v>
      </c>
      <c r="D133" s="344" t="s">
        <v>65</v>
      </c>
      <c r="E133" s="344" t="s">
        <v>65</v>
      </c>
      <c r="F133" s="372" t="s">
        <v>133</v>
      </c>
      <c r="G133" s="33"/>
    </row>
    <row r="134" spans="1:7" ht="18" x14ac:dyDescent="0.4">
      <c r="A134" s="69" t="s">
        <v>4</v>
      </c>
      <c r="B134" s="186" t="s">
        <v>104</v>
      </c>
      <c r="C134" s="345" t="s">
        <v>65</v>
      </c>
      <c r="D134" s="344" t="s">
        <v>65</v>
      </c>
      <c r="E134" s="344" t="s">
        <v>65</v>
      </c>
      <c r="F134" s="372" t="s">
        <v>65</v>
      </c>
      <c r="G134" s="36"/>
    </row>
    <row r="135" spans="1:7" ht="18" x14ac:dyDescent="0.4">
      <c r="A135" s="69" t="s">
        <v>5</v>
      </c>
      <c r="B135" s="186" t="s">
        <v>104</v>
      </c>
      <c r="C135" s="345" t="s">
        <v>65</v>
      </c>
      <c r="D135" s="344" t="s">
        <v>65</v>
      </c>
      <c r="E135" s="344" t="s">
        <v>65</v>
      </c>
      <c r="F135" s="372" t="s">
        <v>65</v>
      </c>
      <c r="G135" s="36"/>
    </row>
    <row r="136" spans="1:7" ht="18" x14ac:dyDescent="0.4">
      <c r="A136" s="69" t="s">
        <v>6</v>
      </c>
      <c r="B136" s="186" t="s">
        <v>104</v>
      </c>
      <c r="C136" s="348" t="s">
        <v>65</v>
      </c>
      <c r="D136" s="344" t="s">
        <v>65</v>
      </c>
      <c r="E136" s="344" t="s">
        <v>65</v>
      </c>
      <c r="F136" s="350" t="s">
        <v>65</v>
      </c>
      <c r="G136" s="36"/>
    </row>
    <row r="137" spans="1:7" ht="18" x14ac:dyDescent="0.4">
      <c r="A137" s="69" t="s">
        <v>7</v>
      </c>
      <c r="B137" s="186" t="s">
        <v>104</v>
      </c>
      <c r="C137" s="345" t="s">
        <v>65</v>
      </c>
      <c r="D137" s="344" t="s">
        <v>65</v>
      </c>
      <c r="E137" s="344" t="s">
        <v>65</v>
      </c>
      <c r="F137" s="372" t="s">
        <v>65</v>
      </c>
      <c r="G137" s="36"/>
    </row>
    <row r="138" spans="1:7" ht="18" x14ac:dyDescent="0.4">
      <c r="A138" s="69" t="s">
        <v>8</v>
      </c>
      <c r="B138" s="186" t="s">
        <v>104</v>
      </c>
      <c r="C138" s="345" t="s">
        <v>65</v>
      </c>
      <c r="D138" s="344" t="s">
        <v>65</v>
      </c>
      <c r="E138" s="344" t="s">
        <v>65</v>
      </c>
      <c r="F138" s="372" t="s">
        <v>65</v>
      </c>
      <c r="G138" s="36"/>
    </row>
    <row r="139" spans="1:7" ht="18" x14ac:dyDescent="0.4">
      <c r="A139" s="69" t="s">
        <v>9</v>
      </c>
      <c r="B139" s="186" t="s">
        <v>104</v>
      </c>
      <c r="C139" s="345" t="s">
        <v>65</v>
      </c>
      <c r="D139" s="344" t="s">
        <v>65</v>
      </c>
      <c r="E139" s="344" t="s">
        <v>65</v>
      </c>
      <c r="F139" s="372" t="s">
        <v>65</v>
      </c>
      <c r="G139" s="36"/>
    </row>
    <row r="140" spans="1:7" ht="18" x14ac:dyDescent="0.4">
      <c r="A140" s="69" t="s">
        <v>10</v>
      </c>
      <c r="B140" s="186" t="s">
        <v>104</v>
      </c>
      <c r="C140" s="345" t="s">
        <v>65</v>
      </c>
      <c r="D140" s="344" t="s">
        <v>65</v>
      </c>
      <c r="E140" s="344" t="s">
        <v>65</v>
      </c>
      <c r="F140" s="372" t="s">
        <v>65</v>
      </c>
      <c r="G140" s="36"/>
    </row>
    <row r="141" spans="1:7" ht="18" x14ac:dyDescent="0.4">
      <c r="A141" s="69" t="s">
        <v>11</v>
      </c>
      <c r="B141" s="186" t="s">
        <v>104</v>
      </c>
      <c r="C141" s="345" t="s">
        <v>65</v>
      </c>
      <c r="D141" s="344" t="s">
        <v>65</v>
      </c>
      <c r="E141" s="344" t="s">
        <v>65</v>
      </c>
      <c r="F141" s="372" t="s">
        <v>65</v>
      </c>
      <c r="G141" s="36"/>
    </row>
    <row r="142" spans="1:7" ht="18" x14ac:dyDescent="0.4">
      <c r="A142" s="69" t="s">
        <v>12</v>
      </c>
      <c r="B142" s="186" t="s">
        <v>104</v>
      </c>
      <c r="C142" s="345" t="s">
        <v>65</v>
      </c>
      <c r="D142" s="344" t="s">
        <v>65</v>
      </c>
      <c r="E142" s="344" t="s">
        <v>65</v>
      </c>
      <c r="F142" s="372" t="s">
        <v>65</v>
      </c>
      <c r="G142" s="36"/>
    </row>
    <row r="143" spans="1:7" ht="18" x14ac:dyDescent="0.4">
      <c r="A143" s="69" t="s">
        <v>13</v>
      </c>
      <c r="B143" s="186" t="s">
        <v>104</v>
      </c>
      <c r="C143" s="345" t="s">
        <v>65</v>
      </c>
      <c r="D143" s="344" t="s">
        <v>65</v>
      </c>
      <c r="E143" s="344" t="s">
        <v>65</v>
      </c>
      <c r="F143" s="372" t="s">
        <v>135</v>
      </c>
      <c r="G143" s="36"/>
    </row>
    <row r="144" spans="1:7" ht="18" x14ac:dyDescent="0.4">
      <c r="A144" s="69" t="s">
        <v>14</v>
      </c>
      <c r="B144" s="186" t="s">
        <v>104</v>
      </c>
      <c r="C144" s="345" t="s">
        <v>65</v>
      </c>
      <c r="D144" s="344" t="s">
        <v>65</v>
      </c>
      <c r="E144" s="344" t="s">
        <v>65</v>
      </c>
      <c r="F144" s="372" t="s">
        <v>65</v>
      </c>
      <c r="G144" s="36"/>
    </row>
    <row r="145" spans="1:7" ht="18" x14ac:dyDescent="0.4">
      <c r="A145" s="69" t="s">
        <v>15</v>
      </c>
      <c r="B145" s="186" t="s">
        <v>104</v>
      </c>
      <c r="C145" s="345" t="s">
        <v>65</v>
      </c>
      <c r="D145" s="344" t="s">
        <v>65</v>
      </c>
      <c r="E145" s="344" t="s">
        <v>65</v>
      </c>
      <c r="F145" s="372" t="s">
        <v>65</v>
      </c>
      <c r="G145" s="36"/>
    </row>
    <row r="146" spans="1:7" ht="18" x14ac:dyDescent="0.4">
      <c r="A146" s="69" t="s">
        <v>16</v>
      </c>
      <c r="B146" s="186" t="s">
        <v>104</v>
      </c>
      <c r="C146" s="345" t="s">
        <v>65</v>
      </c>
      <c r="D146" s="344" t="s">
        <v>65</v>
      </c>
      <c r="E146" s="344" t="s">
        <v>65</v>
      </c>
      <c r="F146" s="372" t="s">
        <v>65</v>
      </c>
      <c r="G146" s="36"/>
    </row>
    <row r="147" spans="1:7" ht="18" x14ac:dyDescent="0.4">
      <c r="A147" s="69" t="s">
        <v>17</v>
      </c>
      <c r="B147" s="186" t="s">
        <v>104</v>
      </c>
      <c r="C147" s="345" t="s">
        <v>65</v>
      </c>
      <c r="D147" s="344" t="s">
        <v>65</v>
      </c>
      <c r="E147" s="344" t="s">
        <v>65</v>
      </c>
      <c r="F147" s="372" t="s">
        <v>134</v>
      </c>
      <c r="G147" s="36"/>
    </row>
    <row r="148" spans="1:7" ht="18" x14ac:dyDescent="0.4">
      <c r="A148" s="69" t="s">
        <v>18</v>
      </c>
      <c r="B148" s="186" t="s">
        <v>104</v>
      </c>
      <c r="C148" s="345" t="s">
        <v>65</v>
      </c>
      <c r="D148" s="344" t="s">
        <v>65</v>
      </c>
      <c r="E148" s="344" t="s">
        <v>65</v>
      </c>
      <c r="F148" s="372" t="s">
        <v>133</v>
      </c>
      <c r="G148" s="36"/>
    </row>
    <row r="149" spans="1:7" ht="18" x14ac:dyDescent="0.4">
      <c r="A149" s="69" t="s">
        <v>19</v>
      </c>
      <c r="B149" s="186" t="s">
        <v>104</v>
      </c>
      <c r="C149" s="345" t="s">
        <v>65</v>
      </c>
      <c r="D149" s="344" t="s">
        <v>65</v>
      </c>
      <c r="E149" s="344" t="s">
        <v>65</v>
      </c>
      <c r="F149" s="372" t="s">
        <v>65</v>
      </c>
      <c r="G149" s="36"/>
    </row>
    <row r="150" spans="1:7" ht="18.75" thickBot="1" x14ac:dyDescent="0.45">
      <c r="A150" s="70" t="s">
        <v>20</v>
      </c>
      <c r="B150" s="187" t="s">
        <v>104</v>
      </c>
      <c r="C150" s="351" t="s">
        <v>65</v>
      </c>
      <c r="D150" s="368" t="s">
        <v>65</v>
      </c>
      <c r="E150" s="368" t="s">
        <v>65</v>
      </c>
      <c r="F150" s="373" t="s">
        <v>65</v>
      </c>
      <c r="G150" s="36"/>
    </row>
    <row r="151" spans="1:7" ht="18" hidden="1" x14ac:dyDescent="0.4">
      <c r="A151" s="68" t="s">
        <v>1</v>
      </c>
      <c r="B151" s="73" t="s">
        <v>105</v>
      </c>
      <c r="C151" s="365" t="s">
        <v>65</v>
      </c>
      <c r="D151" s="366" t="s">
        <v>65</v>
      </c>
      <c r="E151" s="366">
        <v>0</v>
      </c>
      <c r="F151" s="367" t="s">
        <v>65</v>
      </c>
      <c r="G151" s="33"/>
    </row>
    <row r="152" spans="1:7" ht="18" hidden="1" x14ac:dyDescent="0.4">
      <c r="A152" s="69" t="s">
        <v>2</v>
      </c>
      <c r="B152" s="186" t="s">
        <v>105</v>
      </c>
      <c r="C152" s="345" t="s">
        <v>65</v>
      </c>
      <c r="D152" s="344" t="s">
        <v>65</v>
      </c>
      <c r="E152" s="344">
        <v>0</v>
      </c>
      <c r="F152" s="372" t="s">
        <v>65</v>
      </c>
      <c r="G152" s="33"/>
    </row>
    <row r="153" spans="1:7" ht="18" hidden="1" x14ac:dyDescent="0.4">
      <c r="A153" s="69" t="s">
        <v>3</v>
      </c>
      <c r="B153" s="186" t="s">
        <v>105</v>
      </c>
      <c r="C153" s="345" t="s">
        <v>65</v>
      </c>
      <c r="D153" s="344" t="s">
        <v>65</v>
      </c>
      <c r="E153" s="344">
        <v>1</v>
      </c>
      <c r="F153" s="372" t="s">
        <v>65</v>
      </c>
      <c r="G153" s="33"/>
    </row>
    <row r="154" spans="1:7" ht="18" hidden="1" x14ac:dyDescent="0.4">
      <c r="A154" s="69" t="s">
        <v>4</v>
      </c>
      <c r="B154" s="186" t="s">
        <v>105</v>
      </c>
      <c r="C154" s="345" t="s">
        <v>65</v>
      </c>
      <c r="D154" s="344" t="s">
        <v>65</v>
      </c>
      <c r="E154" s="344">
        <v>0</v>
      </c>
      <c r="F154" s="372" t="s">
        <v>65</v>
      </c>
      <c r="G154" s="36"/>
    </row>
    <row r="155" spans="1:7" ht="18" hidden="1" x14ac:dyDescent="0.4">
      <c r="A155" s="69" t="s">
        <v>5</v>
      </c>
      <c r="B155" s="186" t="s">
        <v>105</v>
      </c>
      <c r="C155" s="345" t="s">
        <v>65</v>
      </c>
      <c r="D155" s="344" t="s">
        <v>65</v>
      </c>
      <c r="E155" s="344">
        <v>0</v>
      </c>
      <c r="F155" s="372" t="s">
        <v>65</v>
      </c>
      <c r="G155" s="36"/>
    </row>
    <row r="156" spans="1:7" ht="18" hidden="1" x14ac:dyDescent="0.4">
      <c r="A156" s="69" t="s">
        <v>6</v>
      </c>
      <c r="B156" s="186" t="s">
        <v>105</v>
      </c>
      <c r="C156" s="348" t="s">
        <v>65</v>
      </c>
      <c r="D156" s="344" t="s">
        <v>65</v>
      </c>
      <c r="E156" s="344">
        <v>0</v>
      </c>
      <c r="F156" s="350" t="s">
        <v>65</v>
      </c>
      <c r="G156" s="36"/>
    </row>
    <row r="157" spans="1:7" ht="18" hidden="1" x14ac:dyDescent="0.4">
      <c r="A157" s="69" t="s">
        <v>7</v>
      </c>
      <c r="B157" s="186" t="s">
        <v>105</v>
      </c>
      <c r="C157" s="345" t="s">
        <v>65</v>
      </c>
      <c r="D157" s="344" t="s">
        <v>65</v>
      </c>
      <c r="E157" s="344">
        <v>0</v>
      </c>
      <c r="F157" s="372" t="s">
        <v>65</v>
      </c>
      <c r="G157" s="36"/>
    </row>
    <row r="158" spans="1:7" ht="18" hidden="1" x14ac:dyDescent="0.4">
      <c r="A158" s="69" t="s">
        <v>8</v>
      </c>
      <c r="B158" s="186" t="s">
        <v>105</v>
      </c>
      <c r="C158" s="345" t="s">
        <v>65</v>
      </c>
      <c r="D158" s="344" t="s">
        <v>65</v>
      </c>
      <c r="E158" s="344">
        <v>1</v>
      </c>
      <c r="F158" s="372" t="s">
        <v>65</v>
      </c>
      <c r="G158" s="36"/>
    </row>
    <row r="159" spans="1:7" ht="18" hidden="1" x14ac:dyDescent="0.4">
      <c r="A159" s="69" t="s">
        <v>9</v>
      </c>
      <c r="B159" s="186" t="s">
        <v>105</v>
      </c>
      <c r="C159" s="345" t="s">
        <v>65</v>
      </c>
      <c r="D159" s="344" t="s">
        <v>65</v>
      </c>
      <c r="E159" s="344">
        <v>0</v>
      </c>
      <c r="F159" s="372" t="s">
        <v>65</v>
      </c>
      <c r="G159" s="36"/>
    </row>
    <row r="160" spans="1:7" ht="18" hidden="1" x14ac:dyDescent="0.4">
      <c r="A160" s="69" t="s">
        <v>10</v>
      </c>
      <c r="B160" s="186" t="s">
        <v>105</v>
      </c>
      <c r="C160" s="345" t="s">
        <v>65</v>
      </c>
      <c r="D160" s="344" t="s">
        <v>65</v>
      </c>
      <c r="E160" s="344">
        <v>0</v>
      </c>
      <c r="F160" s="372" t="s">
        <v>65</v>
      </c>
      <c r="G160" s="36"/>
    </row>
    <row r="161" spans="1:7" ht="18" hidden="1" x14ac:dyDescent="0.4">
      <c r="A161" s="69" t="s">
        <v>11</v>
      </c>
      <c r="B161" s="186" t="s">
        <v>105</v>
      </c>
      <c r="C161" s="345" t="s">
        <v>65</v>
      </c>
      <c r="D161" s="344" t="s">
        <v>65</v>
      </c>
      <c r="E161" s="344">
        <v>0</v>
      </c>
      <c r="F161" s="372" t="s">
        <v>65</v>
      </c>
      <c r="G161" s="36"/>
    </row>
    <row r="162" spans="1:7" ht="18" hidden="1" x14ac:dyDescent="0.4">
      <c r="A162" s="69" t="s">
        <v>12</v>
      </c>
      <c r="B162" s="186" t="s">
        <v>105</v>
      </c>
      <c r="C162" s="345" t="s">
        <v>65</v>
      </c>
      <c r="D162" s="344" t="s">
        <v>65</v>
      </c>
      <c r="E162" s="344">
        <v>0</v>
      </c>
      <c r="F162" s="372" t="s">
        <v>65</v>
      </c>
      <c r="G162" s="36"/>
    </row>
    <row r="163" spans="1:7" ht="18" hidden="1" x14ac:dyDescent="0.4">
      <c r="A163" s="69" t="s">
        <v>13</v>
      </c>
      <c r="B163" s="186" t="s">
        <v>105</v>
      </c>
      <c r="C163" s="345" t="s">
        <v>65</v>
      </c>
      <c r="D163" s="344" t="s">
        <v>65</v>
      </c>
      <c r="E163" s="344">
        <v>1</v>
      </c>
      <c r="F163" s="372" t="s">
        <v>65</v>
      </c>
      <c r="G163" s="36"/>
    </row>
    <row r="164" spans="1:7" ht="18" hidden="1" x14ac:dyDescent="0.4">
      <c r="A164" s="69" t="s">
        <v>14</v>
      </c>
      <c r="B164" s="186" t="s">
        <v>105</v>
      </c>
      <c r="C164" s="345" t="s">
        <v>65</v>
      </c>
      <c r="D164" s="344" t="s">
        <v>65</v>
      </c>
      <c r="E164" s="344">
        <v>0</v>
      </c>
      <c r="F164" s="372" t="s">
        <v>65</v>
      </c>
      <c r="G164" s="36"/>
    </row>
    <row r="165" spans="1:7" ht="18" hidden="1" x14ac:dyDescent="0.4">
      <c r="A165" s="69" t="s">
        <v>15</v>
      </c>
      <c r="B165" s="186" t="s">
        <v>105</v>
      </c>
      <c r="C165" s="345" t="s">
        <v>65</v>
      </c>
      <c r="D165" s="344" t="s">
        <v>65</v>
      </c>
      <c r="E165" s="344">
        <v>0</v>
      </c>
      <c r="F165" s="372" t="s">
        <v>65</v>
      </c>
      <c r="G165" s="36"/>
    </row>
    <row r="166" spans="1:7" ht="18" hidden="1" x14ac:dyDescent="0.4">
      <c r="A166" s="69" t="s">
        <v>16</v>
      </c>
      <c r="B166" s="186" t="s">
        <v>105</v>
      </c>
      <c r="C166" s="345" t="s">
        <v>65</v>
      </c>
      <c r="D166" s="344" t="s">
        <v>65</v>
      </c>
      <c r="E166" s="344">
        <v>0</v>
      </c>
      <c r="F166" s="372" t="s">
        <v>65</v>
      </c>
      <c r="G166" s="36"/>
    </row>
    <row r="167" spans="1:7" ht="18" hidden="1" x14ac:dyDescent="0.4">
      <c r="A167" s="69" t="s">
        <v>17</v>
      </c>
      <c r="B167" s="186" t="s">
        <v>105</v>
      </c>
      <c r="C167" s="345" t="s">
        <v>65</v>
      </c>
      <c r="D167" s="344" t="s">
        <v>65</v>
      </c>
      <c r="E167" s="344">
        <v>0</v>
      </c>
      <c r="F167" s="372" t="s">
        <v>65</v>
      </c>
      <c r="G167" s="36"/>
    </row>
    <row r="168" spans="1:7" ht="18" hidden="1" x14ac:dyDescent="0.4">
      <c r="A168" s="69" t="s">
        <v>18</v>
      </c>
      <c r="B168" s="186" t="s">
        <v>105</v>
      </c>
      <c r="C168" s="345" t="s">
        <v>65</v>
      </c>
      <c r="D168" s="344" t="s">
        <v>65</v>
      </c>
      <c r="E168" s="344">
        <v>0</v>
      </c>
      <c r="F168" s="372" t="s">
        <v>65</v>
      </c>
      <c r="G168" s="36"/>
    </row>
    <row r="169" spans="1:7" ht="18" hidden="1" x14ac:dyDescent="0.4">
      <c r="A169" s="69" t="s">
        <v>19</v>
      </c>
      <c r="B169" s="186" t="s">
        <v>105</v>
      </c>
      <c r="C169" s="345" t="s">
        <v>65</v>
      </c>
      <c r="D169" s="344" t="s">
        <v>65</v>
      </c>
      <c r="E169" s="344">
        <v>0</v>
      </c>
      <c r="F169" s="372" t="s">
        <v>65</v>
      </c>
      <c r="G169" s="36"/>
    </row>
    <row r="170" spans="1:7" ht="18.75" hidden="1" thickBot="1" x14ac:dyDescent="0.45">
      <c r="A170" s="70" t="s">
        <v>20</v>
      </c>
      <c r="B170" s="187" t="s">
        <v>105</v>
      </c>
      <c r="C170" s="351" t="s">
        <v>65</v>
      </c>
      <c r="D170" s="368" t="s">
        <v>65</v>
      </c>
      <c r="E170" s="368">
        <v>0</v>
      </c>
      <c r="F170" s="373" t="s">
        <v>65</v>
      </c>
      <c r="G170" s="36"/>
    </row>
    <row r="171" spans="1:7" ht="18" hidden="1" x14ac:dyDescent="0.4">
      <c r="A171" s="68" t="s">
        <v>1</v>
      </c>
      <c r="B171" s="73" t="s">
        <v>106</v>
      </c>
      <c r="C171" s="365" t="s">
        <v>65</v>
      </c>
      <c r="D171" s="366" t="s">
        <v>65</v>
      </c>
      <c r="E171" s="366">
        <v>0</v>
      </c>
      <c r="F171" s="367">
        <v>0</v>
      </c>
      <c r="G171" s="33"/>
    </row>
    <row r="172" spans="1:7" ht="18" hidden="1" x14ac:dyDescent="0.4">
      <c r="A172" s="69" t="s">
        <v>2</v>
      </c>
      <c r="B172" s="186" t="s">
        <v>106</v>
      </c>
      <c r="C172" s="345" t="s">
        <v>65</v>
      </c>
      <c r="D172" s="344" t="s">
        <v>65</v>
      </c>
      <c r="E172" s="344">
        <v>0</v>
      </c>
      <c r="F172" s="372" t="s">
        <v>65</v>
      </c>
      <c r="G172" s="33"/>
    </row>
    <row r="173" spans="1:7" ht="18" hidden="1" x14ac:dyDescent="0.4">
      <c r="A173" s="69" t="s">
        <v>3</v>
      </c>
      <c r="B173" s="186" t="s">
        <v>106</v>
      </c>
      <c r="C173" s="345" t="s">
        <v>65</v>
      </c>
      <c r="D173" s="344" t="s">
        <v>65</v>
      </c>
      <c r="E173" s="344">
        <v>1</v>
      </c>
      <c r="F173" s="372">
        <v>600</v>
      </c>
      <c r="G173" s="33"/>
    </row>
    <row r="174" spans="1:7" ht="18" hidden="1" x14ac:dyDescent="0.4">
      <c r="A174" s="69" t="s">
        <v>4</v>
      </c>
      <c r="B174" s="186" t="s">
        <v>106</v>
      </c>
      <c r="C174" s="345" t="s">
        <v>65</v>
      </c>
      <c r="D174" s="344" t="s">
        <v>65</v>
      </c>
      <c r="E174" s="344">
        <v>0</v>
      </c>
      <c r="F174" s="372" t="s">
        <v>65</v>
      </c>
      <c r="G174" s="36"/>
    </row>
    <row r="175" spans="1:7" ht="18" hidden="1" x14ac:dyDescent="0.4">
      <c r="A175" s="69" t="s">
        <v>5</v>
      </c>
      <c r="B175" s="186" t="s">
        <v>106</v>
      </c>
      <c r="C175" s="345" t="s">
        <v>65</v>
      </c>
      <c r="D175" s="344" t="s">
        <v>65</v>
      </c>
      <c r="E175" s="344">
        <v>0</v>
      </c>
      <c r="F175" s="372" t="s">
        <v>65</v>
      </c>
      <c r="G175" s="36"/>
    </row>
    <row r="176" spans="1:7" ht="18" hidden="1" x14ac:dyDescent="0.4">
      <c r="A176" s="69" t="s">
        <v>6</v>
      </c>
      <c r="B176" s="186" t="s">
        <v>106</v>
      </c>
      <c r="C176" s="348" t="s">
        <v>65</v>
      </c>
      <c r="D176" s="344" t="s">
        <v>65</v>
      </c>
      <c r="E176" s="344">
        <v>0</v>
      </c>
      <c r="F176" s="350">
        <v>0</v>
      </c>
      <c r="G176" s="36"/>
    </row>
    <row r="177" spans="1:7" ht="18" hidden="1" x14ac:dyDescent="0.4">
      <c r="A177" s="69" t="s">
        <v>7</v>
      </c>
      <c r="B177" s="186" t="s">
        <v>106</v>
      </c>
      <c r="C177" s="345" t="s">
        <v>65</v>
      </c>
      <c r="D177" s="344" t="s">
        <v>65</v>
      </c>
      <c r="E177" s="344">
        <v>0</v>
      </c>
      <c r="F177" s="372" t="s">
        <v>65</v>
      </c>
      <c r="G177" s="36"/>
    </row>
    <row r="178" spans="1:7" ht="18" hidden="1" x14ac:dyDescent="0.4">
      <c r="A178" s="69" t="s">
        <v>8</v>
      </c>
      <c r="B178" s="186" t="s">
        <v>106</v>
      </c>
      <c r="C178" s="345" t="s">
        <v>65</v>
      </c>
      <c r="D178" s="344" t="s">
        <v>65</v>
      </c>
      <c r="E178" s="344">
        <v>1</v>
      </c>
      <c r="F178" s="372">
        <v>0</v>
      </c>
      <c r="G178" s="36"/>
    </row>
    <row r="179" spans="1:7" ht="18" hidden="1" x14ac:dyDescent="0.4">
      <c r="A179" s="69" t="s">
        <v>9</v>
      </c>
      <c r="B179" s="186" t="s">
        <v>106</v>
      </c>
      <c r="C179" s="345" t="s">
        <v>65</v>
      </c>
      <c r="D179" s="344" t="s">
        <v>65</v>
      </c>
      <c r="E179" s="344">
        <v>0</v>
      </c>
      <c r="F179" s="372" t="s">
        <v>62</v>
      </c>
      <c r="G179" s="36"/>
    </row>
    <row r="180" spans="1:7" ht="18" hidden="1" x14ac:dyDescent="0.4">
      <c r="A180" s="69" t="s">
        <v>10</v>
      </c>
      <c r="B180" s="186" t="s">
        <v>106</v>
      </c>
      <c r="C180" s="345" t="s">
        <v>65</v>
      </c>
      <c r="D180" s="344" t="s">
        <v>65</v>
      </c>
      <c r="E180" s="344">
        <v>0</v>
      </c>
      <c r="F180" s="372" t="s">
        <v>65</v>
      </c>
      <c r="G180" s="36"/>
    </row>
    <row r="181" spans="1:7" ht="18" hidden="1" x14ac:dyDescent="0.4">
      <c r="A181" s="69" t="s">
        <v>11</v>
      </c>
      <c r="B181" s="186" t="s">
        <v>106</v>
      </c>
      <c r="C181" s="345" t="s">
        <v>65</v>
      </c>
      <c r="D181" s="344" t="s">
        <v>65</v>
      </c>
      <c r="E181" s="344">
        <v>0</v>
      </c>
      <c r="F181" s="372" t="s">
        <v>65</v>
      </c>
      <c r="G181" s="36"/>
    </row>
    <row r="182" spans="1:7" ht="18" hidden="1" x14ac:dyDescent="0.4">
      <c r="A182" s="69" t="s">
        <v>12</v>
      </c>
      <c r="B182" s="186" t="s">
        <v>106</v>
      </c>
      <c r="C182" s="345" t="s">
        <v>65</v>
      </c>
      <c r="D182" s="344" t="s">
        <v>65</v>
      </c>
      <c r="E182" s="344">
        <v>0</v>
      </c>
      <c r="F182" s="372" t="s">
        <v>65</v>
      </c>
      <c r="G182" s="36"/>
    </row>
    <row r="183" spans="1:7" ht="18" hidden="1" x14ac:dyDescent="0.4">
      <c r="A183" s="69" t="s">
        <v>13</v>
      </c>
      <c r="B183" s="186" t="s">
        <v>106</v>
      </c>
      <c r="C183" s="345" t="s">
        <v>65</v>
      </c>
      <c r="D183" s="344" t="s">
        <v>65</v>
      </c>
      <c r="E183" s="344">
        <v>1</v>
      </c>
      <c r="F183" s="372" t="s">
        <v>65</v>
      </c>
      <c r="G183" s="36"/>
    </row>
    <row r="184" spans="1:7" ht="18" hidden="1" x14ac:dyDescent="0.4">
      <c r="A184" s="69" t="s">
        <v>14</v>
      </c>
      <c r="B184" s="186" t="s">
        <v>106</v>
      </c>
      <c r="C184" s="345" t="s">
        <v>65</v>
      </c>
      <c r="D184" s="344" t="s">
        <v>65</v>
      </c>
      <c r="E184" s="344">
        <v>0</v>
      </c>
      <c r="F184" s="372" t="s">
        <v>65</v>
      </c>
      <c r="G184" s="36"/>
    </row>
    <row r="185" spans="1:7" ht="18" hidden="1" x14ac:dyDescent="0.4">
      <c r="A185" s="69" t="s">
        <v>15</v>
      </c>
      <c r="B185" s="186" t="s">
        <v>106</v>
      </c>
      <c r="C185" s="345" t="s">
        <v>65</v>
      </c>
      <c r="D185" s="344" t="s">
        <v>65</v>
      </c>
      <c r="E185" s="344">
        <v>0</v>
      </c>
      <c r="F185" s="372" t="s">
        <v>65</v>
      </c>
      <c r="G185" s="36"/>
    </row>
    <row r="186" spans="1:7" ht="18" hidden="1" x14ac:dyDescent="0.4">
      <c r="A186" s="69" t="s">
        <v>16</v>
      </c>
      <c r="B186" s="186" t="s">
        <v>106</v>
      </c>
      <c r="C186" s="345" t="s">
        <v>65</v>
      </c>
      <c r="D186" s="344" t="s">
        <v>65</v>
      </c>
      <c r="E186" s="344">
        <v>0</v>
      </c>
      <c r="F186" s="372" t="s">
        <v>65</v>
      </c>
      <c r="G186" s="36"/>
    </row>
    <row r="187" spans="1:7" ht="18" hidden="1" x14ac:dyDescent="0.4">
      <c r="A187" s="69" t="s">
        <v>17</v>
      </c>
      <c r="B187" s="186" t="s">
        <v>106</v>
      </c>
      <c r="C187" s="345" t="s">
        <v>65</v>
      </c>
      <c r="D187" s="344" t="s">
        <v>65</v>
      </c>
      <c r="E187" s="344">
        <v>0</v>
      </c>
      <c r="F187" s="372">
        <v>0</v>
      </c>
      <c r="G187" s="36"/>
    </row>
    <row r="188" spans="1:7" ht="18" hidden="1" x14ac:dyDescent="0.4">
      <c r="A188" s="69" t="s">
        <v>18</v>
      </c>
      <c r="B188" s="186" t="s">
        <v>106</v>
      </c>
      <c r="C188" s="345" t="s">
        <v>65</v>
      </c>
      <c r="D188" s="344" t="s">
        <v>65</v>
      </c>
      <c r="E188" s="344">
        <v>0</v>
      </c>
      <c r="F188" s="372" t="s">
        <v>65</v>
      </c>
      <c r="G188" s="36"/>
    </row>
    <row r="189" spans="1:7" ht="18" hidden="1" x14ac:dyDescent="0.4">
      <c r="A189" s="69" t="s">
        <v>19</v>
      </c>
      <c r="B189" s="186" t="s">
        <v>106</v>
      </c>
      <c r="C189" s="345" t="s">
        <v>65</v>
      </c>
      <c r="D189" s="344" t="s">
        <v>65</v>
      </c>
      <c r="E189" s="344">
        <v>0</v>
      </c>
      <c r="F189" s="372">
        <v>0</v>
      </c>
      <c r="G189" s="36"/>
    </row>
    <row r="190" spans="1:7" ht="18.75" hidden="1" thickBot="1" x14ac:dyDescent="0.45">
      <c r="A190" s="70" t="s">
        <v>20</v>
      </c>
      <c r="B190" s="187" t="s">
        <v>106</v>
      </c>
      <c r="C190" s="351" t="s">
        <v>65</v>
      </c>
      <c r="D190" s="368" t="s">
        <v>65</v>
      </c>
      <c r="E190" s="368">
        <v>0</v>
      </c>
      <c r="F190" s="373">
        <v>0</v>
      </c>
      <c r="G190" s="36"/>
    </row>
    <row r="191" spans="1:7" x14ac:dyDescent="0.25">
      <c r="A191"/>
      <c r="B191"/>
      <c r="C191"/>
      <c r="D191"/>
      <c r="E191"/>
      <c r="F191"/>
    </row>
    <row r="192" spans="1:7" x14ac:dyDescent="0.25">
      <c r="A192"/>
      <c r="B192"/>
      <c r="C192"/>
      <c r="D192"/>
      <c r="E192"/>
      <c r="F192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s="58" customFormat="1" ht="12.75" x14ac:dyDescent="0.2"/>
    <row r="304" s="58" customFormat="1" ht="12.75" x14ac:dyDescent="0.2"/>
    <row r="305" s="58" customFormat="1" ht="12.75" x14ac:dyDescent="0.2"/>
    <row r="306" s="58" customFormat="1" ht="12.75" x14ac:dyDescent="0.2"/>
  </sheetData>
  <mergeCells count="1">
    <mergeCell ref="A1:G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922BE3F-837B-4966-A4C8-DAB53F8D099D}">
          <x14:formula1>
            <xm:f>MESTRE!$C$2:$C$8</xm:f>
          </x14:formula1>
          <xm:sqref>B191:B564</xm:sqref>
        </x14:dataValidation>
        <x14:dataValidation type="list" allowBlank="1" showInputMessage="1" showErrorMessage="1" xr:uid="{A8E36387-CE37-4426-84AA-922E45F78F51}">
          <x14:formula1>
            <xm:f>MESTRE!$A$2:$A$21</xm:f>
          </x14:formula1>
          <xm:sqref>A3:A42 A69:A88 A46:A65 A90:A109 A111:A303</xm:sqref>
        </x14:dataValidation>
        <x14:dataValidation type="list" allowBlank="1" showInputMessage="1" showErrorMessage="1" xr:uid="{43ED783C-F969-4B5F-B465-DC7DDFDDC18D}">
          <x14:formula1>
            <xm:f>MESTRE!$A$2:$A$2096</xm:f>
          </x14:formula1>
          <xm:sqref>A89 A66:A68 A110 A43:A45</xm:sqref>
        </x14:dataValidation>
        <x14:dataValidation type="list" allowBlank="1" showInputMessage="1" showErrorMessage="1" xr:uid="{8D7925A4-6EE1-478C-A4EB-4BAEFF5C8549}">
          <x14:formula1>
            <xm:f>MESTRE!$I$2:$I$100</xm:f>
          </x14:formula1>
          <xm:sqref>B3:B190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MESTRE</vt:lpstr>
      <vt:lpstr>OBSERVATORI</vt:lpstr>
      <vt:lpstr>DADES GENERALS</vt:lpstr>
      <vt:lpstr>MOBILITAT</vt:lpstr>
      <vt:lpstr>CIUTATS VERDES</vt:lpstr>
      <vt:lpstr>PARTICIPACIÓ</vt:lpstr>
      <vt:lpstr>ECONOMÍA URBANA</vt:lpstr>
      <vt:lpstr>RECURSOS HÍDRICS</vt:lpstr>
      <vt:lpstr>RECURSOS ELÈCTRICS</vt:lpstr>
      <vt:lpstr>RESIDUS </vt:lpstr>
      <vt:lpstr>HABITATGE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 contraseña</dc:creator>
  <cp:lastModifiedBy>Aleix Pujol Puigmal</cp:lastModifiedBy>
  <dcterms:created xsi:type="dcterms:W3CDTF">2015-06-05T18:19:34Z</dcterms:created>
  <dcterms:modified xsi:type="dcterms:W3CDTF">2024-06-28T07:11:48Z</dcterms:modified>
</cp:coreProperties>
</file>